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ams\Marketing\OKR\2023\Q4\Tagung mit Excel (AT)\Excel-Vorlage\"/>
    </mc:Choice>
  </mc:AlternateContent>
  <xr:revisionPtr revIDLastSave="0" documentId="13_ncr:1_{F573540F-90F8-4581-B7CC-69E843EF69C5}" xr6:coauthVersionLast="47" xr6:coauthVersionMax="47" xr10:uidLastSave="{00000000-0000-0000-0000-000000000000}"/>
  <bookViews>
    <workbookView xWindow="43275" yWindow="-1875" windowWidth="23775" windowHeight="15450" tabRatio="520" xr2:uid="{6DD4012A-58F2-43F2-9EE1-F33BEA13F9B0}"/>
  </bookViews>
  <sheets>
    <sheet name="Hilfe" sheetId="9" r:id="rId1"/>
    <sheet name="Personen + Check-in" sheetId="1" r:id="rId2"/>
    <sheet name="Buchungen" sheetId="2" r:id="rId3"/>
    <sheet name="Gutscheine" sheetId="4" r:id="rId4"/>
    <sheet name="Leistungen" sheetId="3" r:id="rId5"/>
    <sheet name="Beiträge" sheetId="5" r:id="rId6"/>
    <sheet name="Sitzungen" sheetId="7" r:id="rId7"/>
    <sheet name="Themen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8" l="1"/>
  <c r="A8" i="7"/>
  <c r="A8" i="5"/>
  <c r="A8" i="3"/>
  <c r="A8" i="4"/>
  <c r="A8" i="2"/>
  <c r="A8" i="1"/>
  <c r="A7" i="1"/>
  <c r="A7" i="8" s="1"/>
  <c r="A6" i="1"/>
  <c r="A6" i="3" s="1"/>
  <c r="A5" i="1"/>
  <c r="A5" i="5" s="1"/>
  <c r="A4" i="1"/>
  <c r="A4" i="8" s="1"/>
  <c r="A3" i="1"/>
  <c r="A3" i="7" s="1"/>
  <c r="A7" i="2"/>
  <c r="A6" i="2"/>
  <c r="A5" i="2"/>
  <c r="A4" i="2"/>
  <c r="A3" i="2"/>
  <c r="H13" i="3"/>
  <c r="H14" i="3"/>
  <c r="H15" i="3"/>
  <c r="H16" i="3"/>
  <c r="G13" i="3"/>
  <c r="G14" i="3"/>
  <c r="G15" i="3"/>
  <c r="G16" i="3"/>
  <c r="O13" i="1" a="1"/>
  <c r="O13" i="1" s="1"/>
  <c r="O12" i="1" a="1"/>
  <c r="O12" i="1" s="1"/>
  <c r="O11" i="1" a="1"/>
  <c r="O11" i="1" s="1"/>
  <c r="D15" i="3"/>
  <c r="E15" i="3" s="1"/>
  <c r="D13" i="3"/>
  <c r="E13" i="3" s="1"/>
  <c r="D14" i="3"/>
  <c r="E14" i="3" s="1"/>
  <c r="D16" i="3"/>
  <c r="E16" i="3" s="1"/>
  <c r="Q14" i="2"/>
  <c r="R14" i="2" s="1"/>
  <c r="Q16" i="2"/>
  <c r="R16" i="2" s="1"/>
  <c r="Q18" i="2"/>
  <c r="R18" i="2" s="1"/>
  <c r="Q19" i="2"/>
  <c r="R19" i="2" s="1"/>
  <c r="G10" i="5"/>
  <c r="G12" i="5" s="1"/>
  <c r="F16" i="2"/>
  <c r="J16" i="2"/>
  <c r="S16" i="2"/>
  <c r="T16" i="2"/>
  <c r="U16" i="2"/>
  <c r="V16" i="2"/>
  <c r="G16" i="2"/>
  <c r="E13" i="7" a="1"/>
  <c r="E13" i="7" s="1"/>
  <c r="L11" i="1"/>
  <c r="L12" i="1"/>
  <c r="L13" i="1"/>
  <c r="K11" i="1"/>
  <c r="K12" i="1"/>
  <c r="K13" i="1"/>
  <c r="F15" i="5"/>
  <c r="F16" i="5"/>
  <c r="F17" i="5"/>
  <c r="E15" i="5"/>
  <c r="E16" i="5"/>
  <c r="E17" i="5"/>
  <c r="C12" i="8" a="1"/>
  <c r="C12" i="8" s="1"/>
  <c r="C11" i="8" a="1"/>
  <c r="C11" i="8" s="1"/>
  <c r="E11" i="7" a="1"/>
  <c r="E11" i="7" s="1"/>
  <c r="E12" i="7" a="1"/>
  <c r="E12" i="7" s="1"/>
  <c r="S15" i="5"/>
  <c r="S16" i="5"/>
  <c r="S17" i="5"/>
  <c r="R15" i="5"/>
  <c r="R16" i="5"/>
  <c r="R17" i="5"/>
  <c r="Q15" i="5"/>
  <c r="Q16" i="5"/>
  <c r="Q17" i="5"/>
  <c r="P15" i="5"/>
  <c r="P16" i="5"/>
  <c r="P17" i="5"/>
  <c r="N15" i="5"/>
  <c r="N16" i="5"/>
  <c r="N17" i="5"/>
  <c r="M15" i="5"/>
  <c r="M16" i="5"/>
  <c r="M17" i="5"/>
  <c r="L15" i="5"/>
  <c r="L16" i="5"/>
  <c r="L17" i="5"/>
  <c r="K15" i="5"/>
  <c r="K16" i="5"/>
  <c r="K17" i="5"/>
  <c r="F13" i="2"/>
  <c r="F14" i="2"/>
  <c r="F15" i="2"/>
  <c r="F17" i="2"/>
  <c r="F18" i="2"/>
  <c r="F19" i="2"/>
  <c r="J13" i="2"/>
  <c r="J14" i="2"/>
  <c r="J15" i="2"/>
  <c r="J17" i="2"/>
  <c r="J18" i="2"/>
  <c r="J19" i="2"/>
  <c r="D11" i="4"/>
  <c r="D12" i="4"/>
  <c r="D13" i="4"/>
  <c r="S19" i="2"/>
  <c r="T19" i="2"/>
  <c r="U19" i="2"/>
  <c r="V19" i="2"/>
  <c r="G19" i="2"/>
  <c r="H19" i="2" s="1"/>
  <c r="S18" i="2"/>
  <c r="T18" i="2"/>
  <c r="U18" i="2"/>
  <c r="V18" i="2"/>
  <c r="G18" i="2"/>
  <c r="H18" i="2" s="1"/>
  <c r="S14" i="2"/>
  <c r="T14" i="2"/>
  <c r="U14" i="2"/>
  <c r="V14" i="2"/>
  <c r="G14" i="2"/>
  <c r="G13" i="2"/>
  <c r="G15" i="2"/>
  <c r="G17" i="2"/>
  <c r="H17" i="2" s="1"/>
  <c r="V13" i="2"/>
  <c r="V15" i="2"/>
  <c r="V17" i="2"/>
  <c r="U13" i="2"/>
  <c r="U15" i="2"/>
  <c r="U17" i="2"/>
  <c r="S13" i="2"/>
  <c r="S15" i="2"/>
  <c r="S17" i="2"/>
  <c r="T13" i="2"/>
  <c r="T15" i="2"/>
  <c r="T17" i="2"/>
  <c r="A5" i="4" l="1"/>
  <c r="A4" i="4"/>
  <c r="A4" i="5"/>
  <c r="A4" i="7"/>
  <c r="A4" i="3"/>
  <c r="A3" i="8"/>
  <c r="A3" i="4"/>
  <c r="A6" i="8"/>
  <c r="A7" i="4"/>
  <c r="A5" i="7"/>
  <c r="A5" i="3"/>
  <c r="A7" i="7"/>
  <c r="A7" i="5"/>
  <c r="A3" i="5"/>
  <c r="A7" i="3"/>
  <c r="A5" i="8"/>
  <c r="A3" i="3"/>
  <c r="A6" i="7"/>
  <c r="A6" i="4"/>
  <c r="A6" i="5"/>
  <c r="C19" i="2"/>
  <c r="C18" i="2"/>
  <c r="H15" i="2"/>
  <c r="H13" i="2"/>
  <c r="I13" i="2" s="1"/>
  <c r="K13" i="2" s="1"/>
  <c r="P13" i="2" s="1"/>
  <c r="H14" i="2"/>
  <c r="I14" i="2" s="1"/>
  <c r="K14" i="2" s="1"/>
  <c r="P14" i="2" s="1"/>
  <c r="H16" i="2"/>
  <c r="I16" i="2" s="1"/>
  <c r="K16" i="2" s="1"/>
  <c r="P16" i="2" s="1"/>
  <c r="G11" i="5"/>
  <c r="C13" i="2"/>
  <c r="C14" i="2"/>
  <c r="C15" i="2"/>
  <c r="C17" i="2"/>
  <c r="C16" i="2"/>
  <c r="I17" i="2"/>
  <c r="K17" i="2" s="1"/>
  <c r="P17" i="2" s="1"/>
  <c r="I19" i="2"/>
  <c r="K19" i="2" s="1"/>
  <c r="P19" i="2" s="1"/>
  <c r="I18" i="2"/>
  <c r="K18" i="2" s="1"/>
  <c r="P18" i="2" s="1"/>
  <c r="Q17" i="2" l="1"/>
  <c r="R17" i="2" s="1"/>
  <c r="Q13" i="2"/>
  <c r="R13" i="2" s="1"/>
  <c r="I15" i="2"/>
  <c r="K15" i="2" s="1"/>
  <c r="P15" i="2" s="1"/>
  <c r="N13" i="1" l="1"/>
  <c r="M13" i="1" s="1"/>
  <c r="N11" i="1"/>
  <c r="M11" i="1" s="1"/>
  <c r="Q15" i="2" l="1"/>
  <c r="R15" i="2" s="1"/>
  <c r="N12" i="1"/>
  <c r="M12" i="1" s="1"/>
</calcChain>
</file>

<file path=xl/sharedStrings.xml><?xml version="1.0" encoding="utf-8"?>
<sst xmlns="http://schemas.openxmlformats.org/spreadsheetml/2006/main" count="183" uniqueCount="130">
  <si>
    <t>Name</t>
  </si>
  <si>
    <t>Vorname</t>
  </si>
  <si>
    <t>Anmeldename</t>
  </si>
  <si>
    <t>E-Mail</t>
  </si>
  <si>
    <t>Ort</t>
  </si>
  <si>
    <t>Organisation</t>
  </si>
  <si>
    <t>Gruppe</t>
  </si>
  <si>
    <t>Müller</t>
  </si>
  <si>
    <t>Max</t>
  </si>
  <si>
    <t>Student</t>
  </si>
  <si>
    <t>Ja</t>
  </si>
  <si>
    <t>Bärbel</t>
  </si>
  <si>
    <t>bärbel_nicht_barbara</t>
  </si>
  <si>
    <t>VIP</t>
  </si>
  <si>
    <t>ID</t>
  </si>
  <si>
    <t>Leistung</t>
  </si>
  <si>
    <t>Leistungen</t>
  </si>
  <si>
    <t>Bezahlt</t>
  </si>
  <si>
    <t>Buchungen</t>
  </si>
  <si>
    <t>Tag1</t>
  </si>
  <si>
    <t>Tag2</t>
  </si>
  <si>
    <t>Normal</t>
  </si>
  <si>
    <t>Malte</t>
  </si>
  <si>
    <t>Gutscheine</t>
  </si>
  <si>
    <t>Code</t>
  </si>
  <si>
    <t>earlybird10</t>
  </si>
  <si>
    <t>earlybird20</t>
  </si>
  <si>
    <t>Person-ID</t>
  </si>
  <si>
    <t>Rabatt</t>
  </si>
  <si>
    <t>the_true_malteser</t>
  </si>
  <si>
    <t>Meilenweit daneben Consulting GmbH</t>
  </si>
  <si>
    <t>Diese Vorlage ist nur ein Beispiel. Holen Sie sich professionellen Rat ein und passen Sie die Vorlage an Ihre Anforderungen an.</t>
  </si>
  <si>
    <t>Diese Vorlage ist urheberrechtlich geschützt. Converia behält sich das Recht vor, die Vorlage jederzeit zu ändern oder zu entfernen.</t>
  </si>
  <si>
    <t>Buchung</t>
  </si>
  <si>
    <t>Gutscheincode</t>
  </si>
  <si>
    <t>Rabattiert</t>
  </si>
  <si>
    <t>Beiträge</t>
  </si>
  <si>
    <t>Straße</t>
  </si>
  <si>
    <t>PLZ</t>
  </si>
  <si>
    <t>Weimar</t>
  </si>
  <si>
    <t>Goetheplatz 1</t>
  </si>
  <si>
    <t>Am Horn 61</t>
  </si>
  <si>
    <t>Belvederer Allee 10</t>
  </si>
  <si>
    <t>Personen + Check-in</t>
  </si>
  <si>
    <t>Zahlstatus</t>
  </si>
  <si>
    <t>earlybird30</t>
  </si>
  <si>
    <t>Beschreibung</t>
  </si>
  <si>
    <t>Zahlbetrag</t>
  </si>
  <si>
    <t>Check-in Tag1</t>
  </si>
  <si>
    <t>Check-in Tag2</t>
  </si>
  <si>
    <t>Gebuchte Leistungen</t>
  </si>
  <si>
    <t>Haftet-immer UG (haftungsbeschränkt)</t>
  </si>
  <si>
    <t>info@converia.de</t>
  </si>
  <si>
    <t>10 % Frühbucher bis 20.11.</t>
  </si>
  <si>
    <t>20 % Frühbucher bis 15.09.</t>
  </si>
  <si>
    <t>30 % Frühbucher bis 13.07.</t>
  </si>
  <si>
    <t>Restbetrag/Buchung</t>
  </si>
  <si>
    <t>Restbetrag/Person</t>
  </si>
  <si>
    <t>Umsatzsteuersatz</t>
  </si>
  <si>
    <t>Bruttopreis</t>
  </si>
  <si>
    <t>Nettopreis</t>
  </si>
  <si>
    <t>mustermann_mit_herz</t>
  </si>
  <si>
    <t>Besser schnell wieder vergessen GbR</t>
  </si>
  <si>
    <t>Titel</t>
  </si>
  <si>
    <t>Themen</t>
  </si>
  <si>
    <t>Gutachter-ID</t>
  </si>
  <si>
    <t>Präsentationsform</t>
  </si>
  <si>
    <t>Einreicher-ID</t>
  </si>
  <si>
    <t>Einreicher-Name</t>
  </si>
  <si>
    <t>Einreicher-Vorname</t>
  </si>
  <si>
    <t>Einreicher-Organisation</t>
  </si>
  <si>
    <t>Einreicher-Ort</t>
  </si>
  <si>
    <t>Gutachter-Organisation</t>
  </si>
  <si>
    <t>Gutachter-Vorname</t>
  </si>
  <si>
    <t>Gutachter-Ort</t>
  </si>
  <si>
    <t>Gutachter-Name</t>
  </si>
  <si>
    <t>Gedächtnis wie ein Sieb? Rütteltechniken für Anfänger</t>
  </si>
  <si>
    <t>Sitzungen</t>
  </si>
  <si>
    <t>Abgegeben</t>
  </si>
  <si>
    <t>Bewertet</t>
  </si>
  <si>
    <t>Selbstoptimierung für Andere</t>
  </si>
  <si>
    <t>Bühne 1</t>
  </si>
  <si>
    <t>Seminarraum 5</t>
  </si>
  <si>
    <t>Workshop</t>
  </si>
  <si>
    <t>Vortrag</t>
  </si>
  <si>
    <t>Haftungsfrage: Warum Spaghetti an der Wand kleben</t>
  </si>
  <si>
    <t>Gutachten</t>
  </si>
  <si>
    <t>Foyer</t>
  </si>
  <si>
    <t>Stück</t>
  </si>
  <si>
    <t>Übrig</t>
  </si>
  <si>
    <t>Verfügbarkeit</t>
  </si>
  <si>
    <t>Converia übernimmt keine Haftung für Schäden jeglicher Art, die aus der Verwendung oder Nichtverwendung der Vorlage entstehen.</t>
  </si>
  <si>
    <t>Dies gilt insbesondere für Schäden durch Fehler, Unvollständigkeit oder Unrichtigkeit der Vorlage, enthaltener Daten und Formeln.</t>
  </si>
  <si>
    <t>Converia testen »</t>
  </si>
  <si>
    <t>Bäthe-Koslowski</t>
  </si>
  <si>
    <t>Warstein</t>
  </si>
  <si>
    <t>Umsatzsteuersätze:</t>
  </si>
  <si>
    <t>Gruppenrabatte:</t>
  </si>
  <si>
    <t>Sitzung-ID</t>
  </si>
  <si>
    <t>Thema-ID</t>
  </si>
  <si>
    <t>Heute:</t>
  </si>
  <si>
    <t>Abgabefrist:</t>
  </si>
  <si>
    <t>Bewertungsfrist:</t>
  </si>
  <si>
    <t>Übrige Tage:</t>
  </si>
  <si>
    <t>Buchungstag</t>
  </si>
  <si>
    <t>Storniert</t>
  </si>
  <si>
    <t>Stornotag</t>
  </si>
  <si>
    <t>Erstattet</t>
  </si>
  <si>
    <t>Stornogebühr</t>
  </si>
  <si>
    <t>Ergebnis</t>
  </si>
  <si>
    <t>Akzeptiert</t>
  </si>
  <si>
    <t>Ehe Ihre Tagung den Excel-Zelltod stirbt:</t>
  </si>
  <si>
    <t>Tagungsband</t>
  </si>
  <si>
    <t>Check-in Feier</t>
  </si>
  <si>
    <t>Feier</t>
  </si>
  <si>
    <t>Die Physik des Kochens</t>
  </si>
  <si>
    <t>Konzert</t>
  </si>
  <si>
    <t>Meetings mit Ergebnis? Besprechen wir nächstes Mal.</t>
  </si>
  <si>
    <t>Alles in einen Topf werfen? Ballistik an der Dunstabzugshaube</t>
  </si>
  <si>
    <t>Abendveranstaltung mit Überraschungsband</t>
  </si>
  <si>
    <t>Auf Erfolgskurs: In sieben Schritten zum Profiamateur</t>
  </si>
  <si>
    <t>Einlösungen</t>
  </si>
  <si>
    <t>Vorlage im Mai 2024 bereitgestellt von Converia – Konferenz-Management-Software.</t>
  </si>
  <si>
    <t>Hilfe</t>
  </si>
  <si>
    <t>Willkommen in Ihrem neuen Excel-Tool fürs Tagungsmanagement!</t>
  </si>
  <si>
    <t>Hilfe öffnen »</t>
  </si>
  <si>
    <t>Die Vorlage löst drei Aufgaben: Die Verwaltung von Teilnehmern, Zahlungen und Abstracts.</t>
  </si>
  <si>
    <t>In gewissen Grenzen. Diese Grenzen zu kennen, ist entscheidend für Ihren Tagungserfolg.</t>
  </si>
  <si>
    <t>Anleitung öffnen »</t>
  </si>
  <si>
    <t>Mit Praxistipps sind Sie schneller: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</si>
</sst>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ddd\,\ dd/mm/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B7C0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0090FF"/>
      </bottom>
      <diagonal/>
    </border>
    <border>
      <left/>
      <right/>
      <top/>
      <bottom style="thick">
        <color rgb="FFD20D6E"/>
      </bottom>
      <diagonal/>
    </border>
    <border>
      <left/>
      <right/>
      <top/>
      <bottom style="thick">
        <color rgb="FF780387"/>
      </bottom>
      <diagonal/>
    </border>
    <border>
      <left/>
      <right/>
      <top/>
      <bottom style="thick">
        <color rgb="FF8CC800"/>
      </bottom>
      <diagonal/>
    </border>
    <border>
      <left/>
      <right/>
      <top/>
      <bottom style="thick">
        <color rgb="FFF78B2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3" fillId="2" borderId="1" applyNumberFormat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3" borderId="2" applyNumberFormat="0" applyFont="0" applyAlignment="0" applyProtection="0"/>
    <xf numFmtId="0" fontId="2" fillId="0" borderId="3" applyFill="0" applyAlignment="0" applyProtection="0"/>
    <xf numFmtId="0" fontId="2" fillId="0" borderId="4" applyFill="0" applyAlignment="0" applyProtection="0"/>
    <xf numFmtId="0" fontId="2" fillId="0" borderId="5" applyFill="0" applyAlignment="0" applyProtection="0"/>
    <xf numFmtId="0" fontId="2" fillId="0" borderId="6" applyFill="0" applyAlignment="0" applyProtection="0"/>
    <xf numFmtId="0" fontId="2" fillId="0" borderId="7" applyFill="0" applyAlignment="0" applyProtection="0"/>
    <xf numFmtId="0" fontId="7" fillId="4" borderId="8" applyNumberFormat="0" applyAlignment="0" applyProtection="0"/>
    <xf numFmtId="0" fontId="11" fillId="0" borderId="0" applyNumberFormat="0" applyFill="0" applyBorder="0" applyAlignment="0" applyProtection="0"/>
  </cellStyleXfs>
  <cellXfs count="44">
    <xf numFmtId="0" fontId="0" fillId="0" borderId="0" xfId="0"/>
    <xf numFmtId="9" fontId="3" fillId="2" borderId="1" xfId="2" applyNumberFormat="1"/>
    <xf numFmtId="0" fontId="7" fillId="4" borderId="8" xfId="11"/>
    <xf numFmtId="164" fontId="3" fillId="2" borderId="1" xfId="2" applyNumberFormat="1"/>
    <xf numFmtId="0" fontId="4" fillId="0" borderId="0" xfId="3" applyProtection="1"/>
    <xf numFmtId="0" fontId="0" fillId="6" borderId="0" xfId="0" applyFill="1"/>
    <xf numFmtId="0" fontId="0" fillId="7" borderId="0" xfId="0" applyFill="1"/>
    <xf numFmtId="44" fontId="0" fillId="0" borderId="0" xfId="0" applyNumberFormat="1"/>
    <xf numFmtId="0" fontId="1" fillId="0" borderId="0" xfId="1" applyNumberFormat="1" applyFont="1" applyAlignment="1">
      <alignment horizontal="right"/>
    </xf>
    <xf numFmtId="44" fontId="1" fillId="0" borderId="0" xfId="1" applyFont="1" applyProtection="1"/>
    <xf numFmtId="0" fontId="1" fillId="0" borderId="0" xfId="4" applyNumberFormat="1" applyFont="1"/>
    <xf numFmtId="164" fontId="1" fillId="0" borderId="0" xfId="4" applyNumberFormat="1" applyFont="1"/>
    <xf numFmtId="0" fontId="1" fillId="0" borderId="0" xfId="1" applyNumberFormat="1" applyFont="1"/>
    <xf numFmtId="9" fontId="1" fillId="0" borderId="0" xfId="4" applyFont="1" applyProtection="1"/>
    <xf numFmtId="44" fontId="1" fillId="0" borderId="0" xfId="1" applyFont="1"/>
    <xf numFmtId="44" fontId="1" fillId="0" borderId="0" xfId="1" applyFont="1" applyAlignment="1">
      <alignment horizontal="right"/>
    </xf>
    <xf numFmtId="9" fontId="1" fillId="0" borderId="0" xfId="4" applyFont="1"/>
    <xf numFmtId="0" fontId="1" fillId="0" borderId="0" xfId="1" applyNumberFormat="1" applyFont="1" applyAlignment="1"/>
    <xf numFmtId="0" fontId="10" fillId="3" borderId="2" xfId="5" applyFont="1" applyAlignment="1" applyProtection="1"/>
    <xf numFmtId="0" fontId="8" fillId="5" borderId="9" xfId="0" applyFont="1" applyFill="1" applyBorder="1" applyAlignment="1">
      <alignment horizontal="right"/>
    </xf>
    <xf numFmtId="0" fontId="9" fillId="5" borderId="9" xfId="3" applyFont="1" applyFill="1" applyBorder="1" applyAlignment="1" applyProtection="1">
      <alignment horizontal="left"/>
    </xf>
    <xf numFmtId="0" fontId="2" fillId="0" borderId="3" xfId="6" applyAlignment="1" applyProtection="1">
      <alignment horizontal="left"/>
    </xf>
    <xf numFmtId="0" fontId="6" fillId="3" borderId="2" xfId="5" applyFont="1" applyAlignment="1" applyProtection="1"/>
    <xf numFmtId="0" fontId="10" fillId="3" borderId="2" xfId="5" applyFont="1" applyAlignment="1"/>
    <xf numFmtId="0" fontId="2" fillId="0" borderId="4" xfId="7" applyAlignment="1">
      <alignment horizontal="left"/>
    </xf>
    <xf numFmtId="0" fontId="6" fillId="3" borderId="2" xfId="5" applyFont="1" applyAlignment="1"/>
    <xf numFmtId="0" fontId="2" fillId="0" borderId="6" xfId="9" applyAlignment="1">
      <alignment horizontal="left"/>
    </xf>
    <xf numFmtId="0" fontId="2" fillId="0" borderId="7" xfId="10" applyAlignment="1">
      <alignment horizontal="left"/>
    </xf>
    <xf numFmtId="0" fontId="2" fillId="0" borderId="5" xfId="8" applyAlignment="1">
      <alignment horizontal="left"/>
    </xf>
    <xf numFmtId="0" fontId="2" fillId="0" borderId="3" xfId="6" applyAlignment="1">
      <alignment horizontal="left"/>
    </xf>
    <xf numFmtId="0" fontId="10" fillId="3" borderId="10" xfId="5" applyFont="1" applyBorder="1" applyAlignment="1"/>
    <xf numFmtId="0" fontId="10" fillId="3" borderId="11" xfId="5" applyFont="1" applyBorder="1" applyAlignment="1"/>
    <xf numFmtId="0" fontId="10" fillId="3" borderId="12" xfId="5" applyFont="1" applyBorder="1" applyAlignment="1"/>
    <xf numFmtId="0" fontId="6" fillId="3" borderId="13" xfId="5" applyFont="1" applyBorder="1" applyAlignment="1"/>
    <xf numFmtId="0" fontId="6" fillId="3" borderId="0" xfId="5" applyFont="1" applyBorder="1" applyAlignment="1"/>
    <xf numFmtId="0" fontId="10" fillId="3" borderId="13" xfId="5" applyFont="1" applyBorder="1" applyAlignment="1"/>
    <xf numFmtId="0" fontId="10" fillId="3" borderId="0" xfId="5" applyFont="1" applyBorder="1" applyAlignment="1"/>
    <xf numFmtId="0" fontId="11" fillId="0" borderId="0" xfId="12"/>
    <xf numFmtId="0" fontId="12" fillId="0" borderId="0" xfId="0" applyFont="1"/>
    <xf numFmtId="0" fontId="8" fillId="0" borderId="0" xfId="0" applyFont="1"/>
    <xf numFmtId="0" fontId="8" fillId="5" borderId="0" xfId="0" applyFont="1" applyFill="1" applyAlignment="1">
      <alignment horizontal="right"/>
    </xf>
    <xf numFmtId="0" fontId="8" fillId="0" borderId="0" xfId="0" applyFont="1"/>
    <xf numFmtId="0" fontId="9" fillId="5" borderId="0" xfId="3" applyFont="1" applyFill="1" applyAlignment="1">
      <alignment horizontal="left"/>
    </xf>
    <xf numFmtId="0" fontId="12" fillId="0" borderId="0" xfId="0" applyFont="1" applyAlignment="1">
      <alignment wrapText="1"/>
    </xf>
  </cellXfs>
  <cellStyles count="13">
    <cellStyle name="Ausgabe" xfId="11" builtinId="21"/>
    <cellStyle name="Eingabe" xfId="2" builtinId="20"/>
    <cellStyle name="Link" xfId="3" builtinId="8"/>
    <cellStyle name="Notiz" xfId="5" builtinId="10"/>
    <cellStyle name="Prozent" xfId="4" builtinId="5"/>
    <cellStyle name="Standard" xfId="0" builtinId="0"/>
    <cellStyle name="Überschrift" xfId="12" builtinId="15"/>
    <cellStyle name="Überschrift 1 Blau" xfId="6" xr:uid="{203D6A36-C3DD-456E-BB57-1507A293DF75}"/>
    <cellStyle name="Überschrift 1 Grün" xfId="9" xr:uid="{11539139-CB7F-4A76-AFE3-36BE230792D8}"/>
    <cellStyle name="Überschrift 1 Lila" xfId="8" xr:uid="{4B9D3B94-00E8-44C1-A426-E2E8478CC690}"/>
    <cellStyle name="Überschrift 1 Magenta" xfId="7" xr:uid="{0FC3B17B-0386-4048-A42D-8968372A4581}"/>
    <cellStyle name="Überschrift 1 Orange" xfId="10" xr:uid="{56A61326-7E94-4F1C-A429-E65C3902BDE6}"/>
    <cellStyle name="Währung" xfId="1" builtinId="4"/>
  </cellStyles>
  <dxfs count="167">
    <dxf>
      <font>
        <b val="0"/>
        <i/>
        <color theme="1" tint="0.34998626667073579"/>
      </font>
    </dxf>
    <dxf>
      <font>
        <b val="0"/>
        <i/>
        <color theme="1" tint="0.34998626667073579"/>
      </font>
    </dxf>
    <dxf>
      <font>
        <color auto="1"/>
      </font>
      <fill>
        <patternFill>
          <bgColor rgb="FFFFB7C0"/>
        </patternFill>
      </fill>
    </dxf>
    <dxf>
      <fill>
        <patternFill>
          <bgColor theme="9" tint="0.39994506668294322"/>
        </patternFill>
      </fill>
    </dxf>
    <dxf>
      <fill>
        <patternFill>
          <bgColor rgb="FFFFFF99"/>
        </patternFill>
      </fill>
    </dxf>
    <dxf>
      <fill>
        <patternFill>
          <bgColor rgb="FFFFB7C0"/>
        </patternFill>
      </fill>
    </dxf>
    <dxf>
      <fill>
        <patternFill>
          <bgColor rgb="FFFFFF99"/>
        </patternFill>
      </fill>
    </dxf>
    <dxf>
      <fill>
        <patternFill>
          <bgColor rgb="FFFFB7C0"/>
        </patternFill>
      </fill>
    </dxf>
    <dxf>
      <font>
        <b val="0"/>
        <i/>
        <color theme="1" tint="0.34998626667073579"/>
      </font>
    </dxf>
    <dxf>
      <fill>
        <patternFill>
          <bgColor rgb="FFFFB7C0"/>
        </patternFill>
      </fill>
    </dxf>
    <dxf>
      <fill>
        <patternFill>
          <bgColor theme="9" tint="0.59996337778862885"/>
        </patternFill>
      </fill>
    </dxf>
    <dxf>
      <font>
        <b val="0"/>
        <i/>
        <color theme="1" tint="0.34998626667073579"/>
      </font>
    </dxf>
    <dxf>
      <font>
        <b val="0"/>
        <i/>
        <color theme="1" tint="0.34998626667073579"/>
      </font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FFB7C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FFB7C0"/>
        </patternFill>
      </fill>
    </dxf>
    <dxf>
      <fill>
        <patternFill>
          <bgColor theme="9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FFB7C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FB7C0"/>
        </patternFill>
      </fill>
    </dxf>
    <dxf>
      <fill>
        <patternFill>
          <bgColor rgb="FFFFB7C0"/>
        </patternFill>
      </fill>
    </dxf>
    <dxf>
      <fill>
        <patternFill>
          <bgColor theme="9" tint="0.59996337778862885"/>
        </patternFill>
      </fill>
    </dxf>
    <dxf>
      <font>
        <b val="0"/>
        <i/>
        <color theme="1" tint="0.34998626667073579"/>
      </font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FFB7C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FFB7C0"/>
        </patternFill>
      </fill>
    </dxf>
    <dxf>
      <fill>
        <patternFill>
          <bgColor theme="9" tint="0.59996337778862885"/>
        </patternFill>
      </fill>
    </dxf>
    <dxf>
      <font>
        <b val="0"/>
        <i/>
        <color theme="1" tint="0.34998626667073579"/>
      </font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i val="0"/>
      </font>
    </dxf>
    <dxf>
      <font>
        <i val="0"/>
      </font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  <numFmt numFmtId="0" formatCode="General"/>
    </dxf>
    <dxf>
      <font>
        <i val="0"/>
      </font>
    </dxf>
    <dxf>
      <font>
        <i val="0"/>
      </font>
      <numFmt numFmtId="34" formatCode="_-* #,##0.00\ &quot;€&quot;_-;\-* #,##0.00\ &quot;€&quot;_-;_-* &quot;-&quot;??\ &quot;€&quot;_-;_-@_-"/>
    </dxf>
    <dxf>
      <font>
        <i val="0"/>
      </font>
      <numFmt numFmtId="34" formatCode="_-* #,##0.00\ &quot;€&quot;_-;\-* #,##0.00\ &quot;€&quot;_-;_-* &quot;-&quot;??\ &quot;€&quot;_-;_-@_-"/>
    </dxf>
    <dxf>
      <font>
        <i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  <numFmt numFmtId="0" formatCode="General"/>
      <alignment horizontal="right" vertical="bottom" textRotation="0" wrapText="0" indent="0" justifyLastLine="0" shrinkToFit="0" readingOrder="0"/>
    </dxf>
    <dxf>
      <font>
        <i val="0"/>
      </font>
      <numFmt numFmtId="34" formatCode="_-* #,##0.00\ &quot;€&quot;_-;\-* #,##0.00\ &quot;€&quot;_-;_-* &quot;-&quot;??\ &quot;€&quot;_-;_-@_-"/>
      <alignment horizontal="right" vertical="bottom" textRotation="0" wrapText="0" indent="0" justifyLastLine="0" shrinkToFit="0" readingOrder="0"/>
    </dxf>
    <dxf>
      <font>
        <i val="0"/>
      </font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d\,\ 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i val="0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protection locked="1" hidden="0"/>
    </dxf>
    <dxf>
      <font>
        <i val="0"/>
      </font>
      <numFmt numFmtId="13" formatCode="0%"/>
    </dxf>
    <dxf>
      <font>
        <i val="0"/>
      </font>
      <numFmt numFmtId="34" formatCode="_-* #,##0.00\ &quot;€&quot;_-;\-* #,##0.00\ &quot;€&quot;_-;_-* &quot;-&quot;??\ &quot;€&quot;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protection locked="1" hidden="0"/>
    </dxf>
    <dxf>
      <font>
        <i val="0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d\,\ dd/mm/yyyy"/>
    </dxf>
    <dxf>
      <font>
        <i val="0"/>
      </font>
      <numFmt numFmtId="0" formatCode="General"/>
    </dxf>
    <dxf>
      <font>
        <i val="0"/>
      </font>
    </dxf>
    <dxf>
      <font>
        <i val="0"/>
      </font>
    </dxf>
    <dxf>
      <font>
        <i val="0"/>
      </font>
    </dxf>
    <dxf>
      <protection locked="1" hidden="0"/>
    </dxf>
    <dxf>
      <protection locked="1" hidden="0"/>
    </dxf>
    <dxf>
      <protection locked="1" hidden="0"/>
    </dxf>
    <dxf>
      <font>
        <i val="0"/>
      </font>
      <numFmt numFmtId="0" formatCode="General"/>
      <protection locked="1" hidden="0"/>
    </dxf>
    <dxf>
      <font>
        <i val="0"/>
      </font>
      <protection locked="1" hidden="0"/>
    </dxf>
    <dxf>
      <font>
        <i val="0"/>
      </font>
      <numFmt numFmtId="0" formatCode="General"/>
      <protection locked="1" hidden="0"/>
    </dxf>
    <dxf>
      <font>
        <i val="0"/>
      </font>
      <protection locked="1" hidden="0"/>
    </dxf>
    <dxf>
      <font>
        <i val="0"/>
      </font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border>
        <left style="thin">
          <color theme="5"/>
        </left>
      </border>
    </dxf>
    <dxf>
      <border>
        <left style="thin">
          <color theme="5"/>
        </left>
      </border>
    </dxf>
    <dxf>
      <border>
        <top style="thin">
          <color theme="5"/>
        </top>
      </border>
    </dxf>
    <dxf>
      <border>
        <top style="thin">
          <color theme="5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5"/>
        </top>
      </border>
    </dxf>
    <dxf>
      <font>
        <b/>
        <color theme="0"/>
      </font>
      <fill>
        <patternFill patternType="solid">
          <fgColor theme="5"/>
          <bgColor rgb="FFF78B29"/>
        </patternFill>
      </fill>
    </dxf>
    <dxf>
      <font>
        <color theme="1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rgb="FFBC0472"/>
          <bgColor rgb="FFD20D6E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rgb="FF780387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9"/>
        </left>
      </border>
    </dxf>
    <dxf>
      <border>
        <left style="thin">
          <color theme="9"/>
        </left>
      </border>
    </dxf>
    <dxf>
      <border>
        <top style="thin">
          <color theme="9"/>
        </top>
      </border>
    </dxf>
    <dxf>
      <border>
        <top style="thin">
          <color theme="9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rgb="FF8CC800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rgb="FF0090FF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5" defaultTableStyle="TableStyleMedium2" defaultPivotStyle="PivotStyleLight16">
    <tableStyle name="TableStyleLight Blau" pivot="0" count="9" xr9:uid="{9CA3D521-F33C-4BD5-B30B-5B53FAC38AA2}">
      <tableStyleElement type="wholeTable" dxfId="166"/>
      <tableStyleElement type="headerRow" dxfId="165"/>
      <tableStyleElement type="totalRow" dxfId="164"/>
      <tableStyleElement type="firstColumn" dxfId="163"/>
      <tableStyleElement type="lastColumn" dxfId="162"/>
      <tableStyleElement type="firstRowStripe" dxfId="161"/>
      <tableStyleElement type="secondRowStripe" dxfId="160"/>
      <tableStyleElement type="firstColumnStripe" dxfId="159"/>
      <tableStyleElement type="secondColumnStripe" dxfId="158"/>
    </tableStyle>
    <tableStyle name="TableStyleLight Grün" pivot="0" count="9" xr9:uid="{7EC20E25-C306-46EA-8BF3-2B317D462BFF}">
      <tableStyleElement type="wholeTable" dxfId="157"/>
      <tableStyleElement type="headerRow" dxfId="156"/>
      <tableStyleElement type="totalRow" dxfId="155"/>
      <tableStyleElement type="firstColumn" dxfId="154"/>
      <tableStyleElement type="lastColumn" dxfId="153"/>
      <tableStyleElement type="firstRowStripe" dxfId="152"/>
      <tableStyleElement type="secondRowStripe" dxfId="151"/>
      <tableStyleElement type="firstColumnStripe" dxfId="150"/>
      <tableStyleElement type="secondColumnStripe" dxfId="149"/>
    </tableStyle>
    <tableStyle name="TableStyleLight Lila" pivot="0" count="9" xr9:uid="{69B5A848-2338-4DBC-8D45-8359FEF3B5B2}">
      <tableStyleElement type="wholeTable" dxfId="148"/>
      <tableStyleElement type="headerRow" dxfId="147"/>
      <tableStyleElement type="totalRow" dxfId="146"/>
      <tableStyleElement type="firstColumn" dxfId="145"/>
      <tableStyleElement type="lastColumn" dxfId="144"/>
      <tableStyleElement type="firstRowStripe" dxfId="143"/>
      <tableStyleElement type="secondRowStripe" dxfId="142"/>
      <tableStyleElement type="firstColumnStripe" dxfId="141"/>
      <tableStyleElement type="secondColumnStripe" dxfId="140"/>
    </tableStyle>
    <tableStyle name="TableStyleLight Magenta" pivot="0" count="9" xr9:uid="{2656E1CB-0638-4DB9-B6E0-5263612738CB}">
      <tableStyleElement type="wholeTable" dxfId="139"/>
      <tableStyleElement type="headerRow" dxfId="138"/>
      <tableStyleElement type="totalRow" dxfId="137"/>
      <tableStyleElement type="firstColumn" dxfId="136"/>
      <tableStyleElement type="lastColumn" dxfId="135"/>
      <tableStyleElement type="firstRowStripe" dxfId="134"/>
      <tableStyleElement type="secondRowStripe" dxfId="133"/>
      <tableStyleElement type="firstColumnStripe" dxfId="132"/>
      <tableStyleElement type="secondColumnStripe" dxfId="131"/>
    </tableStyle>
    <tableStyle name="TableStyleLight10 Orange" pivot="0" count="9" xr9:uid="{0D893073-8B0A-41E8-926D-6F3ADDB5A788}">
      <tableStyleElement type="wholeTable" dxfId="130"/>
      <tableStyleElement type="headerRow" dxfId="129"/>
      <tableStyleElement type="totalRow" dxfId="128"/>
      <tableStyleElement type="firstColumn" dxfId="127"/>
      <tableStyleElement type="lastColumn" dxfId="126"/>
      <tableStyleElement type="firstRowStripe" dxfId="125"/>
      <tableStyleElement type="secondRowStripe" dxfId="124"/>
      <tableStyleElement type="firstColumnStripe" dxfId="123"/>
      <tableStyleElement type="secondColumnStripe" dxfId="122"/>
    </tableStyle>
  </tableStyles>
  <colors>
    <mruColors>
      <color rgb="FFFFB7C0"/>
      <color rgb="FFFF8997"/>
      <color rgb="FFFFC7CE"/>
      <color rgb="FFFF7C80"/>
      <color rgb="FF8CC800"/>
      <color rgb="FFFFFF99"/>
      <color rgb="FFCCFF66"/>
      <color rgb="FFD20D6E"/>
      <color rgb="FF0090FF"/>
      <color rgb="FF7803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414D0A-B9A3-4199-9E2F-88469AB3C6F7}" name="Tab_Personen" displayName="Tab_Personen" ref="A10:R13" totalsRowShown="0" headerRowDxfId="121" dataDxfId="120">
  <autoFilter ref="A10:R13" xr:uid="{D2414D0A-B9A3-4199-9E2F-88469AB3C6F7}"/>
  <tableColumns count="18">
    <tableColumn id="11" xr3:uid="{0BC4426E-F5E9-4BCA-832C-6088A1DD524B}" name="ID" dataDxfId="119"/>
    <tableColumn id="1" xr3:uid="{37411293-137A-49A6-9698-AC03800532F4}" name="Name" dataDxfId="118"/>
    <tableColumn id="2" xr3:uid="{4C4604B7-CC18-4F42-9C17-4B69D968ACDA}" name="Vorname" dataDxfId="117"/>
    <tableColumn id="3" xr3:uid="{4E6F1266-0236-4152-A63F-7A2AD3858DA8}" name="Anmeldename" dataDxfId="116"/>
    <tableColumn id="4" xr3:uid="{D3252A15-1196-471D-AC3E-5100893732E9}" name="E-Mail" dataDxfId="115" dataCellStyle="Link"/>
    <tableColumn id="6" xr3:uid="{800C6AD0-110C-4BC2-8587-5E0231576066}" name="Organisation" dataDxfId="114"/>
    <tableColumn id="13" xr3:uid="{C429FBF7-95B8-4A52-88A6-81AD17907EB0}" name="Straße" dataDxfId="113"/>
    <tableColumn id="14" xr3:uid="{6A8942EB-BC82-4412-ACC4-DFACAB554A74}" name="PLZ" dataDxfId="112"/>
    <tableColumn id="5" xr3:uid="{97B5EBC7-623A-404B-9FAE-49EB7BA5912A}" name="Ort" dataDxfId="111"/>
    <tableColumn id="7" xr3:uid="{751D7047-2C68-4D05-9961-E3A7F19FEAF2}" name="Gruppe" dataDxfId="110"/>
    <tableColumn id="12" xr3:uid="{CA65A85B-5C9C-4E56-BE88-7EAAB9F276ED}" name="Beiträge" dataDxfId="109" dataCellStyle="Standard">
      <calculatedColumnFormula>COUNTIF(Tab_Beiträge[Einreicher-ID],Tab_Personen[[#This Row],[ID]])</calculatedColumnFormula>
    </tableColumn>
    <tableColumn id="19" xr3:uid="{34CFC2EF-C6E3-4126-9A22-E60E40B72EBA}" name="Gutachten" dataDxfId="108" dataCellStyle="Standard">
      <calculatedColumnFormula>COUNTIF(Tab_Beiträge[Gutachter-ID],Tab_Personen[[#This Row],[ID]])</calculatedColumnFormula>
    </tableColumn>
    <tableColumn id="15" xr3:uid="{25B2F6BC-662B-4441-8727-DB2335A42741}" name="Zahlstatus" dataDxfId="107" dataCellStyle="Standard">
      <calculatedColumnFormula>IF(Tab_Personen[[#This Row],[Zahlbetrag]]&lt;0, "Überzahlt", IF(Tab_Personen[[#This Row],[Zahlbetrag]]&gt;0, "Offen", IF(Tab_Personen[[#This Row],[Zahlbetrag]]=0,"Bezahlt")))</calculatedColumnFormula>
    </tableColumn>
    <tableColumn id="16" xr3:uid="{5F7D5843-B017-419F-B651-C274A061F091}" name="Zahlbetrag" dataDxfId="106" dataCellStyle="Währung">
      <calculatedColumnFormula>ROUND(SUMIF(Tab_Buchungen[Person-ID],Tab_Personen[[#This Row],[ID]],Tab_Buchungen[Restbetrag/Buchung]), 2)</calculatedColumnFormula>
    </tableColumn>
    <tableColumn id="17" xr3:uid="{3F78C6D9-5DA7-4FC5-83D0-A988A9994738}" name="Gebuchte Leistungen" dataDxfId="105" dataCellStyle="Standard">
      <calculatedColumnFormula array="1">_xlfn.TEXTJOIN("; ",TRUE, IF(Tab_Buchungen[Person-ID]=Tab_Personen[[#This Row],[ID]],IF(Tab_Buchungen[Storniert]="",Tab_Buchungen[Buchung],""),""))</calculatedColumnFormula>
    </tableColumn>
    <tableColumn id="8" xr3:uid="{B9833478-59FA-4F8F-844D-29B5D2183A6F}" name="Check-in Tag1" dataDxfId="104"/>
    <tableColumn id="9" xr3:uid="{B0443D95-AAE7-460D-B385-1999916265B3}" name="Check-in Tag2" dataDxfId="103"/>
    <tableColumn id="10" xr3:uid="{818ACA2E-B482-4DE0-BA64-DB64BBA67521}" name="Check-in Feier" dataDxfId="102"/>
  </tableColumns>
  <tableStyleInfo name="TableStyleLight Blau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2A86FF-5BA3-4A96-8498-E476799DC699}" name="Tab_Buchungen" displayName="Tab_Buchungen" ref="A12:V19" totalsRowShown="0" dataDxfId="101">
  <autoFilter ref="A12:V19" xr:uid="{482A86FF-5BA3-4A96-8498-E476799DC699}"/>
  <tableColumns count="22">
    <tableColumn id="4" xr3:uid="{08D56E9F-809A-46AE-8FEC-4FC30CF01669}" name="Person-ID" dataDxfId="100"/>
    <tableColumn id="7" xr3:uid="{8605D7F1-F405-4825-A889-D04C94BBF21B}" name="Buchung" dataDxfId="99"/>
    <tableColumn id="1" xr3:uid="{AA2D1F56-2D58-4981-A111-54C72F3AA891}" name="Verfügbarkeit" dataDxfId="98" dataCellStyle="Prozent">
      <calculatedColumnFormula>VLOOKUP(Tab_Buchungen[[#This Row],[Buchung]],Tab_Leistungen[],MATCH(Tab_Buchungen[[#Headers],[Verfügbarkeit]],Tab_Leistungen[#Headers], 0),FALSE)</calculatedColumnFormula>
    </tableColumn>
    <tableColumn id="14" xr3:uid="{509B3D38-978D-453E-BAD8-FBB7474515A3}" name="Buchungstag" dataDxfId="97" dataCellStyle="Prozent"/>
    <tableColumn id="11" xr3:uid="{8C3A97F6-FF7B-4CF8-BB3D-EE97727E7DC1}" name="Gutscheincode" dataDxfId="96" dataCellStyle="Währung"/>
    <tableColumn id="13" xr3:uid="{80605ACB-9B58-4E87-BBF8-4896C36A8D67}" name="Rabatt" dataDxfId="95" dataCellStyle="Prozent">
      <calculatedColumnFormula>IF(ISBLANK(Tab_Buchungen[[#This Row],[Gutscheincode]]),0,VLOOKUP(Tab_Buchungen[[#This Row],[Gutscheincode]],Tab_Gutscheine[],MATCH(Tab_Buchungen[[#Headers],[Rabatt]],Tab_Gutscheine[#Headers],0),FALSE))</calculatedColumnFormula>
    </tableColumn>
    <tableColumn id="12" xr3:uid="{3E79C2CD-6368-45A7-A738-31DB9C4D17BC}" name="Gruppe" dataDxfId="94" dataCellStyle="Prozent">
      <calculatedColumnFormula>VLOOKUP(Tab_Buchungen[[#This Row],[Person-ID]],Tab_Personen[],MATCH(Tab_Buchungen[[#Headers],[Gruppe]],Tab_Personen[#Headers],0),FALSE)</calculatedColumnFormula>
    </tableColumn>
    <tableColumn id="16" xr3:uid="{11473549-BD23-46BD-991E-537CF33B5973}" name="Nettopreis" dataDxfId="93" dataCellStyle="Währung">
      <calculatedColumnFormula>VLOOKUP(Tab_Buchungen[[#This Row],[Buchung]],Tab_Leistungen[], MATCH(Tab_Buchungen[[#This Row],[Gruppe]],Tab_Leistungen[#Headers],0),FALSE)</calculatedColumnFormula>
    </tableColumn>
    <tableColumn id="8" xr3:uid="{A0111FC0-7ED4-443A-B1FD-D85717473B17}" name="Rabattiert" dataDxfId="92" dataCellStyle="Währung">
      <calculatedColumnFormula>(1-Tab_Buchungen[[#This Row],[Rabatt]])*Tab_Buchungen[[#This Row],[Nettopreis]]</calculatedColumnFormula>
    </tableColumn>
    <tableColumn id="26" xr3:uid="{B37787B0-155D-40DF-BD49-905B7A5B7E0C}" name="Umsatzsteuersatz" dataDxfId="91" dataCellStyle="Prozent">
      <calculatedColumnFormula>VLOOKUP(Tab_Buchungen[[#This Row],[Buchung]],Tab_Leistungen[],MATCH(Tab_Buchungen[[#Headers],[Umsatzsteuersatz]],Tab_Leistungen[#Headers],0),FALSE)</calculatedColumnFormula>
    </tableColumn>
    <tableColumn id="24" xr3:uid="{780F712D-14E3-4A7E-984A-6B7EEAB91547}" name="Bruttopreis" dataDxfId="90" dataCellStyle="Währung">
      <calculatedColumnFormula>Tab_Buchungen[[#This Row],[Rabattiert]]*(1+Tab_Buchungen[[#This Row],[Umsatzsteuersatz]])</calculatedColumnFormula>
    </tableColumn>
    <tableColumn id="9" xr3:uid="{7E3B57CD-916E-473E-9A92-BC54685E2D60}" name="Bezahlt" dataDxfId="89" dataCellStyle="Währung"/>
    <tableColumn id="15" xr3:uid="{D6ABC113-9A82-4061-9391-B9ADCB7A27FD}" name="Storniert" dataDxfId="88" dataCellStyle="Währung"/>
    <tableColumn id="19" xr3:uid="{D61B7A6A-AEA2-4CD9-AB40-A924EC024AD6}" name="Stornotag" dataDxfId="87" dataCellStyle="Prozent"/>
    <tableColumn id="20" xr3:uid="{11519211-16D0-4084-A86D-4436DBBA388C}" name="Erstattet" dataDxfId="86" dataCellStyle="Währung"/>
    <tableColumn id="10" xr3:uid="{008B0EE9-C86E-40C8-B74A-234488CB75C7}" name="Restbetrag/Buchung" dataDxfId="85" dataCellStyle="Währung">
      <calculatedColumnFormula>ROUND(IF(Tab_Buchungen[[#This Row],[Storniert]] = "Ja", Tab_Buchungen[[#This Row],[Bruttopreis]]*$M$10-Tab_Buchungen[[#This Row],[Bezahlt]]+Tab_Buchungen[[#This Row],[Erstattet]], Tab_Buchungen[[#This Row],[Bruttopreis]]-Tab_Buchungen[[#This Row],[Bezahlt]]+Tab_Buchungen[[#This Row],[Erstattet]]),2)</calculatedColumnFormula>
    </tableColumn>
    <tableColumn id="23" xr3:uid="{A0B33D71-B453-4F37-B484-FF4795782696}" name="Restbetrag/Person" dataDxfId="84" dataCellStyle="Währung">
      <calculatedColumnFormula>IF(Tab_Buchungen[[#This Row],[Person-ID]]=$A12,"⬆️",ROUND(SUMIFS(Tab_Buchungen[Restbetrag/Buchung], Tab_Buchungen[Person-ID],Tab_Buchungen[[#This Row],[Person-ID]]),2))</calculatedColumnFormula>
    </tableColumn>
    <tableColumn id="18" xr3:uid="{F8044762-314E-4618-8D87-7D5140F50492}" name="Zahlstatus" dataDxfId="83" dataCellStyle="Währung">
      <calculatedColumnFormula>IF(Tab_Buchungen[[#This Row],[Restbetrag/Person]]="⬆️","⬆️",IF(Tab_Buchungen[[#This Row],[Restbetrag/Person]]&lt;0, "Überzahlt", IF(Tab_Buchungen[[#This Row],[Restbetrag/Person]]&gt;0, "Offen", IF(Tab_Buchungen[[#This Row],[Restbetrag/Person]]=0,"Bezahlt"))))</calculatedColumnFormula>
    </tableColumn>
    <tableColumn id="2" xr3:uid="{7C4D5AC7-7414-4BD6-AC65-C6CAA13631FB}" name="Name" dataDxfId="82">
      <calculatedColumnFormula>VLOOKUP(Tab_Buchungen[[#This Row],[Person-ID]],Tab_Personen[],MATCH(Tab_Buchungen[[#Headers],[Name]],Tab_Personen[#Headers],0),FALSE)</calculatedColumnFormula>
    </tableColumn>
    <tableColumn id="3" xr3:uid="{103D9F75-9CCB-41A7-A1D4-54541FCACCDD}" name="Vorname" dataDxfId="81">
      <calculatedColumnFormula>VLOOKUP(Tab_Buchungen[[#This Row],[Person-ID]],Tab_Personen[],MATCH(Tab_Buchungen[[#Headers],[Vorname]],Tab_Personen[#Headers],0),FALSE)</calculatedColumnFormula>
    </tableColumn>
    <tableColumn id="6" xr3:uid="{B5E07CC7-D6A8-485E-9DFE-EB4812C6AD51}" name="Organisation" dataDxfId="80">
      <calculatedColumnFormula>VLOOKUP(Tab_Buchungen[[#This Row],[Person-ID]],Tab_Personen[],MATCH(Tab_Buchungen[[#Headers],[Organisation]],Tab_Personen[#Headers],0),FALSE)</calculatedColumnFormula>
    </tableColumn>
    <tableColumn id="5" xr3:uid="{4899C9A6-8E7B-4DEA-BBCF-8F6085F7B780}" name="Ort" dataDxfId="79">
      <calculatedColumnFormula>VLOOKUP(Tab_Buchungen[[#This Row],[Person-ID]],Tab_Personen[],MATCH(Tab_Buchungen[[#Headers],[Ort]],Tab_Personen[#Headers],0),FALSE)</calculatedColumnFormula>
    </tableColumn>
  </tableColumns>
  <tableStyleInfo name="TableStyleLight Magenta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628E5F-474F-49BA-A77B-16BC766039DC}" name="Tab_Gutscheine" displayName="Tab_Gutscheine" ref="A10:D13" totalsRowShown="0" dataDxfId="78">
  <autoFilter ref="A10:D13" xr:uid="{18628E5F-474F-49BA-A77B-16BC766039DC}"/>
  <tableColumns count="4">
    <tableColumn id="3" xr3:uid="{CCE6F139-ACE8-46B1-9D9C-1DD06D123E9B}" name="Code" dataDxfId="77"/>
    <tableColumn id="2" xr3:uid="{2A77DC5F-1D23-45BD-BE89-9BFE42A4FF89}" name="Rabatt" dataDxfId="76" dataCellStyle="Prozent"/>
    <tableColumn id="1" xr3:uid="{E62CE882-0F1D-404E-BC7D-A35369F96C73}" name="Beschreibung" dataDxfId="75" dataCellStyle="Prozent"/>
    <tableColumn id="4" xr3:uid="{0D9DD82D-06FB-44B9-9357-78E2D3B9B453}" name="Einlösungen" dataDxfId="74">
      <calculatedColumnFormula>COUNTIF(Tab_Buchungen[Gutscheincode],Tab_Gutscheine[[#This Row],[Code]])</calculatedColumnFormula>
    </tableColumn>
  </tableColumns>
  <tableStyleInfo name="TableStyleLight Grün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AFC985-8A2A-49C3-BE33-652928B118D3}" name="Tab_Leistungen" displayName="Tab_Leistungen" ref="A12:H16" totalsRowShown="0" dataDxfId="73">
  <autoFilter ref="A12:H16" xr:uid="{20AFC985-8A2A-49C3-BE33-652928B118D3}"/>
  <tableColumns count="8">
    <tableColumn id="2" xr3:uid="{6855FB1F-22CF-4057-89BC-6AF735B91D07}" name="Leistung" dataDxfId="72"/>
    <tableColumn id="1" xr3:uid="{357E3CA8-4AEA-47DD-9FC4-68EFF8408C15}" name="Umsatzsteuersatz" dataDxfId="71" dataCellStyle="Prozent"/>
    <tableColumn id="7" xr3:uid="{D1076EF0-AB56-47D6-97D6-281D54B5637D}" name="Stück" dataDxfId="70" dataCellStyle="Prozent"/>
    <tableColumn id="6" xr3:uid="{F93C6923-94D8-4C59-ACE0-BD22171A2C55}" name="Übrig" dataDxfId="69" dataCellStyle="Prozent">
      <calculatedColumnFormula>Tab_Leistungen[[#This Row],[Stück]] - COUNTIFS(Tab_Buchungen[Buchung],Tab_Leistungen[[#This Row],[Leistung]],Tab_Buchungen[Storniert], "")</calculatedColumnFormula>
    </tableColumn>
    <tableColumn id="8" xr3:uid="{7C3375BE-D9AF-40A7-A9BB-35BA38AFEE45}" name="Verfügbarkeit" dataDxfId="68" dataCellStyle="Prozent">
      <calculatedColumnFormula>IF(Tab_Leistungen[[#This Row],[Übrig]]&lt;0, "Überbucht", IF(Tab_Leistungen[[#This Row],[Übrig]]=0, "Ausgebucht", IF(Tab_Leistungen[[#This Row],[Übrig]]&gt;0, "Frei")))</calculatedColumnFormula>
    </tableColumn>
    <tableColumn id="3" xr3:uid="{551F9B10-6E1C-4C9A-A2DF-AE796EE8EB86}" name="Normal" dataDxfId="67" dataCellStyle="Währung"/>
    <tableColumn id="4" xr3:uid="{2AFE6059-15A8-4D65-A382-F3C36186F0D0}" name="Student" dataDxfId="66" dataCellStyle="Währung">
      <calculatedColumnFormula>Tab_Leistungen[[#This Row],[Normal]]*(1-G$10)</calculatedColumnFormula>
    </tableColumn>
    <tableColumn id="5" xr3:uid="{CD4760A6-0F72-4D83-9610-3A69AD62A051}" name="VIP" dataDxfId="65" dataCellStyle="Währung">
      <calculatedColumnFormula>Tab_Leistungen[[#This Row],[Normal]]*(1-H$10)</calculatedColumnFormula>
    </tableColumn>
  </tableColumns>
  <tableStyleInfo name="TableStyleLight10 Orang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9B6F24-D17B-43F8-9861-8C98B804D353}" name="Tab_Beiträge" displayName="Tab_Beiträge" ref="A14:S17" totalsRowShown="0" dataDxfId="64">
  <autoFilter ref="A14:S17" xr:uid="{D39B6F24-D17B-43F8-9861-8C98B804D353}"/>
  <tableColumns count="19">
    <tableColumn id="9" xr3:uid="{7BB4233B-E182-4BDE-BAFB-F968D8B8DDE8}" name="ID" dataDxfId="63"/>
    <tableColumn id="10" xr3:uid="{6D02E818-D0C3-4AA9-9665-F147247EFB57}" name="Titel" dataDxfId="62"/>
    <tableColumn id="7" xr3:uid="{46C5BA6C-2048-4654-B53A-DBA42D6C1773}" name="Thema-ID" dataDxfId="61"/>
    <tableColumn id="8" xr3:uid="{8FCD4F05-99C6-48EA-A601-9F294371E8D1}" name="Sitzung-ID" dataDxfId="60"/>
    <tableColumn id="17" xr3:uid="{86BF1CC6-FBEE-4447-8A45-4107E4B1E59F}" name="Ort" dataDxfId="59">
      <calculatedColumnFormula>VLOOKUP(Tab_Beiträge[[#This Row],[Sitzung-ID]],Tab_Sitzungen[],MATCH(Tab_Beiträge[[#Headers],[Ort]],Tab_Sitzungen[#Headers],0),FALSE)</calculatedColumnFormula>
    </tableColumn>
    <tableColumn id="11" xr3:uid="{E98FEDB0-6A5B-4F88-8043-7DA15A2A219B}" name="Präsentationsform" dataDxfId="58">
      <calculatedColumnFormula>VLOOKUP(Tab_Beiträge[[#This Row],[Sitzung-ID]],Tab_Sitzungen[],MATCH(Tab_Beiträge[[#Headers],[Präsentationsform]],Tab_Sitzungen[#Headers],0),FALSE)</calculatedColumnFormula>
    </tableColumn>
    <tableColumn id="20" xr3:uid="{405EDE95-E540-42C5-B191-3F9A4B553BC6}" name="Abgegeben" dataDxfId="57"/>
    <tableColumn id="21" xr3:uid="{967D2314-DA1E-4B19-8C33-0DDA1AD90641}" name="Bewertet" dataDxfId="56"/>
    <tableColumn id="18" xr3:uid="{33A0D979-A9F3-4DE7-928E-ECF922D3F0AA}" name="Ergebnis" dataDxfId="55" dataCellStyle="Währung"/>
    <tableColumn id="1" xr3:uid="{129B0FFD-C883-4788-9DE8-22B4BB70E09A}" name="Einreicher-ID" dataDxfId="54"/>
    <tableColumn id="2" xr3:uid="{A550C3B8-7F35-4FD6-9B8D-F946B4A87660}" name="Einreicher-Name" dataDxfId="53">
      <calculatedColumnFormula>VLOOKUP(Tab_Beiträge[[#This Row],[Einreicher-ID]],Tab_Personen[],MATCH(MID(Tab_Beiträge[[#Headers],[Einreicher-Name]],12,4),Tab_Personen[#Headers],0),FALSE)</calculatedColumnFormula>
    </tableColumn>
    <tableColumn id="3" xr3:uid="{0D0EE83F-CC93-4736-AEE0-025AD63C8F65}" name="Einreicher-Vorname" dataDxfId="52">
      <calculatedColumnFormula>VLOOKUP(Tab_Beiträge[[#This Row],[Einreicher-ID]],Tab_Personen[],MATCH(MID(Tab_Beiträge[[#Headers],[Einreicher-Vorname]],12,7),Tab_Personen[#Headers],0),FALSE)</calculatedColumnFormula>
    </tableColumn>
    <tableColumn id="4" xr3:uid="{7CCF6C8B-EEB3-4DAA-90CC-DD50E4A32643}" name="Einreicher-Organisation" dataDxfId="51">
      <calculatedColumnFormula>VLOOKUP(Tab_Beiträge[[#This Row],[Einreicher-ID]],Tab_Personen[],MATCH(MID(Tab_Beiträge[[#Headers],[Einreicher-Organisation]],12,12),Tab_Personen[#Headers],0),FALSE)</calculatedColumnFormula>
    </tableColumn>
    <tableColumn id="5" xr3:uid="{4B8FF7E3-1015-454F-99B9-40BC24597D3F}" name="Einreicher-Ort" dataDxfId="50">
      <calculatedColumnFormula>VLOOKUP(Tab_Beiträge[[#This Row],[Einreicher-ID]],Tab_Personen[],MATCH(MID(Tab_Beiträge[[#Headers],[Einreicher-Ort]],12,3),Tab_Personen[#Headers],0),FALSE)</calculatedColumnFormula>
    </tableColumn>
    <tableColumn id="12" xr3:uid="{A8ED46B9-3F02-4A6A-9BE4-B925769E4D20}" name="Gutachter-ID" dataDxfId="49"/>
    <tableColumn id="16" xr3:uid="{33242E07-DFCE-4427-A651-948EF4B7B371}" name="Gutachter-Name" dataDxfId="48">
      <calculatedColumnFormula>VLOOKUP(Tab_Beiträge[[#This Row],[Gutachter-ID]],Tab_Personen[],MATCH(MID(Tab_Beiträge[[#Headers],[Gutachter-Name]],11,4),Tab_Personen[#Headers],0),FALSE)</calculatedColumnFormula>
    </tableColumn>
    <tableColumn id="13" xr3:uid="{7BB5D197-10AB-4803-8817-F8A9C16740D6}" name="Gutachter-Vorname" dataDxfId="47">
      <calculatedColumnFormula>VLOOKUP(Tab_Beiträge[[#This Row],[Gutachter-ID]],Tab_Personen[],MATCH(MID(Tab_Beiträge[[#Headers],[Gutachter-Vorname]],11,7),Tab_Personen[#Headers],0),FALSE)</calculatedColumnFormula>
    </tableColumn>
    <tableColumn id="14" xr3:uid="{F7EBB46D-1C06-4ECD-B623-607D6ADDBDDC}" name="Gutachter-Organisation" dataDxfId="46">
      <calculatedColumnFormula>VLOOKUP(Tab_Beiträge[[#This Row],[Gutachter-ID]],Tab_Personen[],MATCH(MID(Tab_Beiträge[[#Headers],[Gutachter-Organisation]],11,12),Tab_Personen[#Headers],0),FALSE)</calculatedColumnFormula>
    </tableColumn>
    <tableColumn id="15" xr3:uid="{1BEE1207-1B2A-45DD-811A-B8385BC49DAD}" name="Gutachter-Ort" dataDxfId="45">
      <calculatedColumnFormula>VLOOKUP(Tab_Beiträge[[#This Row],[Gutachter-ID]],Tab_Personen[],MATCH(MID(Tab_Beiträge[[#Headers],[Gutachter-Ort]],11,3),Tab_Personen[#Headers],0),FALSE)</calculatedColumnFormula>
    </tableColumn>
  </tableColumns>
  <tableStyleInfo name="TableStyleLight Lila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2444695-BCAF-4CF7-8D01-F3C49B0E8CAD}" name="Tab_Sitzungen" displayName="Tab_Sitzungen" ref="A10:E13" totalsRowShown="0" dataDxfId="44">
  <autoFilter ref="A10:E13" xr:uid="{D39B6F24-D17B-43F8-9861-8C98B804D353}"/>
  <tableColumns count="5">
    <tableColumn id="9" xr3:uid="{5F427B93-09FF-4E36-8F3F-4FF9376E7895}" name="ID" dataDxfId="43"/>
    <tableColumn id="10" xr3:uid="{83146B37-3693-491E-A6E7-0E871C9F7BDB}" name="Name" dataDxfId="42"/>
    <tableColumn id="21" xr3:uid="{12B4C767-D4B6-4AA7-A4DB-A3BAB80B48DA}" name="Ort" dataDxfId="41"/>
    <tableColumn id="23" xr3:uid="{50B72718-56F3-42D9-8025-33C66D72DC68}" name="Präsentationsform" dataDxfId="40"/>
    <tableColumn id="7" xr3:uid="{74007682-B4FC-46AE-8206-F7F7D464C35A}" name="Beiträge" dataDxfId="39">
      <calculatedColumnFormula array="1">_xlfn.TEXTJOIN("; ",TRUE, IF(Tab_Beiträge[Sitzung-ID]=Tab_Sitzungen[[#This Row],[ID]],Tab_Beiträge[ID],""))</calculatedColumnFormula>
    </tableColumn>
  </tableColumns>
  <tableStyleInfo name="TableStyleLight Blau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20140D-0E34-44AB-9B4A-F3C8E9D7064E}" name="Tab_Themen" displayName="Tab_Themen" ref="A10:C12" totalsRowShown="0" dataDxfId="38">
  <autoFilter ref="A10:C12" xr:uid="{D39B6F24-D17B-43F8-9861-8C98B804D353}"/>
  <tableColumns count="3">
    <tableColumn id="9" xr3:uid="{7F8C7BB4-DCA8-4AD8-8EDE-2797AC8A00C5}" name="ID" dataDxfId="37"/>
    <tableColumn id="10" xr3:uid="{31CD95F0-FB38-4C71-AD6C-0E2C001964A5}" name="Name" dataDxfId="36"/>
    <tableColumn id="7" xr3:uid="{D32D9CD4-F259-4E7E-B6EA-935928B4E9A1}" name="Beiträge" dataDxfId="35">
      <calculatedColumnFormula array="1">_xlfn.TEXTJOIN("; ", TRUE, IF(Tab_Beiträge[Thema-ID]=Tab_Themen[[#This Row],[ID]],Tab_Beiträge[ID],""))</calculatedColumnFormula>
    </tableColumn>
  </tableColumns>
  <tableStyleInfo name="TableStyleLight Magenta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log.converia.de/de/tagung-organisieren-excel-vorlage-kostenlos/?utm_source=excel&amp;utm_medium=spreadsheet&amp;utm_campaign=conference_template&amp;utm_content=sheet_help" TargetMode="External"/><Relationship Id="rId2" Type="http://schemas.openxmlformats.org/officeDocument/2006/relationships/hyperlink" Target="https://www.converia.de/de/jetzt-testen.html?utm_source=excel&amp;utm_medium=spreadsheet&amp;utm_campaign=conference_template&amp;utm_content=help_sheet" TargetMode="External"/><Relationship Id="rId1" Type="http://schemas.openxmlformats.org/officeDocument/2006/relationships/hyperlink" Target="https://www.converia.de/de/jetzt-testen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veria.de/de/jetzt-testen.html" TargetMode="External"/><Relationship Id="rId2" Type="http://schemas.openxmlformats.org/officeDocument/2006/relationships/hyperlink" Target="mailto:info@converia.de" TargetMode="External"/><Relationship Id="rId1" Type="http://schemas.openxmlformats.org/officeDocument/2006/relationships/hyperlink" Target="mailto:info@converia.de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www.converia.de/de/jetzt-testen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www.converia.de/de/jetzt-testen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onveria.de/de/jetzt-testen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hyperlink" Target="https://www.converia.de/de/jetzt-testen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hyperlink" Target="https://www.converia.de/de/jetzt-testen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hyperlink" Target="https://www.converia.de/de/jetzt-test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FF05-EFDD-44C4-9513-0D8F5042E43B}">
  <sheetPr>
    <tabColor theme="0"/>
  </sheetPr>
  <dimension ref="A1:H15"/>
  <sheetViews>
    <sheetView tabSelected="1" workbookViewId="0">
      <selection activeCell="E9" sqref="E9:H9"/>
    </sheetView>
  </sheetViews>
  <sheetFormatPr baseColWidth="10" defaultRowHeight="14.4" x14ac:dyDescent="0.3"/>
  <cols>
    <col min="1" max="1" width="21.44140625" customWidth="1"/>
  </cols>
  <sheetData>
    <row r="1" spans="1:8" ht="23.4" x14ac:dyDescent="0.45">
      <c r="A1" s="37" t="s">
        <v>123</v>
      </c>
    </row>
    <row r="3" spans="1:8" ht="18" x14ac:dyDescent="0.35">
      <c r="A3" s="39" t="s">
        <v>124</v>
      </c>
      <c r="B3" s="39"/>
      <c r="C3" s="39"/>
      <c r="D3" s="39"/>
      <c r="E3" s="39"/>
      <c r="F3" s="39"/>
      <c r="G3" s="39"/>
      <c r="H3" s="39"/>
    </row>
    <row r="4" spans="1:8" ht="18" x14ac:dyDescent="0.35">
      <c r="A4" s="41"/>
      <c r="B4" s="41"/>
      <c r="C4" s="41"/>
      <c r="D4" s="41"/>
      <c r="E4" s="41"/>
      <c r="F4" s="41"/>
      <c r="G4" s="41"/>
      <c r="H4" s="41"/>
    </row>
    <row r="5" spans="1:8" ht="18" x14ac:dyDescent="0.35">
      <c r="A5" s="43" t="s">
        <v>126</v>
      </c>
      <c r="B5" s="43"/>
      <c r="C5" s="43"/>
      <c r="D5" s="43"/>
      <c r="E5" s="43"/>
      <c r="F5" s="43"/>
      <c r="G5" s="43"/>
      <c r="H5" s="43"/>
    </row>
    <row r="6" spans="1:8" ht="18" x14ac:dyDescent="0.35">
      <c r="A6" s="40" t="s">
        <v>129</v>
      </c>
      <c r="B6" s="40"/>
      <c r="C6" s="40"/>
      <c r="D6" s="40"/>
      <c r="E6" s="42" t="s">
        <v>128</v>
      </c>
      <c r="F6" s="42"/>
      <c r="G6" s="42"/>
      <c r="H6" s="42"/>
    </row>
    <row r="8" spans="1:8" ht="18" x14ac:dyDescent="0.35">
      <c r="A8" s="38" t="s">
        <v>127</v>
      </c>
    </row>
    <row r="9" spans="1:8" ht="18" x14ac:dyDescent="0.35">
      <c r="A9" s="19" t="s">
        <v>111</v>
      </c>
      <c r="B9" s="19"/>
      <c r="C9" s="19"/>
      <c r="D9" s="19"/>
      <c r="E9" s="20" t="s">
        <v>93</v>
      </c>
      <c r="F9" s="20"/>
      <c r="G9" s="20"/>
      <c r="H9" s="20"/>
    </row>
    <row r="11" spans="1:8" x14ac:dyDescent="0.3">
      <c r="A11" s="22" t="s">
        <v>122</v>
      </c>
      <c r="B11" s="22"/>
      <c r="C11" s="22"/>
      <c r="D11" s="22"/>
      <c r="E11" s="22"/>
      <c r="F11" s="22"/>
      <c r="G11" s="22"/>
      <c r="H11" s="22"/>
    </row>
    <row r="12" spans="1:8" x14ac:dyDescent="0.3">
      <c r="A12" s="18" t="s">
        <v>31</v>
      </c>
      <c r="B12" s="18"/>
      <c r="C12" s="18"/>
      <c r="D12" s="18"/>
      <c r="E12" s="18"/>
      <c r="F12" s="18"/>
      <c r="G12" s="18"/>
      <c r="H12" s="18"/>
    </row>
    <row r="13" spans="1:8" x14ac:dyDescent="0.3">
      <c r="A13" s="18" t="s">
        <v>91</v>
      </c>
      <c r="B13" s="18"/>
      <c r="C13" s="18"/>
      <c r="D13" s="18"/>
      <c r="E13" s="18"/>
      <c r="F13" s="18"/>
      <c r="G13" s="18"/>
      <c r="H13" s="18"/>
    </row>
    <row r="14" spans="1:8" x14ac:dyDescent="0.3">
      <c r="A14" s="18" t="s">
        <v>92</v>
      </c>
      <c r="B14" s="18"/>
      <c r="C14" s="18"/>
      <c r="D14" s="18"/>
      <c r="E14" s="18"/>
      <c r="F14" s="18"/>
      <c r="G14" s="18"/>
      <c r="H14" s="18"/>
    </row>
    <row r="15" spans="1:8" x14ac:dyDescent="0.3">
      <c r="A15" s="18" t="s">
        <v>32</v>
      </c>
      <c r="B15" s="18"/>
      <c r="C15" s="18"/>
      <c r="D15" s="18"/>
      <c r="E15" s="18"/>
      <c r="F15" s="18"/>
      <c r="G15" s="18"/>
      <c r="H15" s="18"/>
    </row>
  </sheetData>
  <mergeCells count="11">
    <mergeCell ref="A3:H3"/>
    <mergeCell ref="A6:D6"/>
    <mergeCell ref="E6:H6"/>
    <mergeCell ref="A5:H5"/>
    <mergeCell ref="A11:H11"/>
    <mergeCell ref="A12:H12"/>
    <mergeCell ref="A13:H13"/>
    <mergeCell ref="A14:H14"/>
    <mergeCell ref="A15:H15"/>
    <mergeCell ref="A9:D9"/>
    <mergeCell ref="E9:H9"/>
  </mergeCells>
  <hyperlinks>
    <hyperlink ref="E9" r:id="rId1" xr:uid="{4EAB61B4-8BB1-4E66-B078-412E93A2329E}"/>
    <hyperlink ref="E9:H9" r:id="rId2" display="Converia testen »" xr:uid="{43321BC5-E5FD-499D-BD55-B0293CBCAACB}"/>
    <hyperlink ref="E6:H6" r:id="rId3" display="Praxistipps öffnen »" xr:uid="{A29DF152-0B46-4055-A62B-77295E18A6B5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BDA0-24FD-41B7-B36D-FAF1D279E27F}">
  <sheetPr>
    <tabColor rgb="FF0090FF"/>
  </sheetPr>
  <dimension ref="A1:R13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E8" sqref="E8:H8"/>
    </sheetView>
  </sheetViews>
  <sheetFormatPr baseColWidth="10" defaultRowHeight="14.4" x14ac:dyDescent="0.3"/>
  <cols>
    <col min="1" max="1" width="5" bestFit="1" customWidth="1"/>
    <col min="2" max="2" width="15.21875" customWidth="1"/>
    <col min="3" max="3" width="11.109375" bestFit="1" customWidth="1"/>
    <col min="4" max="4" width="20.77734375" customWidth="1"/>
    <col min="5" max="5" width="16.5546875" bestFit="1" customWidth="1"/>
    <col min="6" max="6" width="35" bestFit="1" customWidth="1"/>
    <col min="7" max="7" width="18" customWidth="1"/>
    <col min="8" max="8" width="6.21875" bestFit="1" customWidth="1"/>
    <col min="9" max="9" width="7.77734375" bestFit="1" customWidth="1"/>
    <col min="10" max="10" width="9.6640625" bestFit="1" customWidth="1"/>
    <col min="11" max="11" width="10.44140625" bestFit="1" customWidth="1"/>
    <col min="12" max="12" width="12.21875" bestFit="1" customWidth="1"/>
    <col min="13" max="13" width="11.77734375" bestFit="1" customWidth="1"/>
    <col min="14" max="14" width="12.21875" bestFit="1" customWidth="1"/>
    <col min="15" max="15" width="21" bestFit="1" customWidth="1"/>
    <col min="16" max="17" width="15" bestFit="1" customWidth="1"/>
    <col min="18" max="18" width="15.5546875" bestFit="1" customWidth="1"/>
  </cols>
  <sheetData>
    <row r="1" spans="1:18" ht="20.399999999999999" thickBot="1" x14ac:dyDescent="0.45">
      <c r="A1" s="21" t="s">
        <v>43</v>
      </c>
      <c r="B1" s="21"/>
      <c r="C1" s="21"/>
    </row>
    <row r="2" spans="1:18" ht="15" thickTop="1" x14ac:dyDescent="0.3"/>
    <row r="3" spans="1:18" x14ac:dyDescent="0.3">
      <c r="A3" s="25" t="str">
        <f>Hilfe!$A$11</f>
        <v>Vorlage im Mai 2024 bereitgestellt von Converia – Konferenz-Management-Software.</v>
      </c>
      <c r="B3" s="25"/>
      <c r="C3" s="25"/>
      <c r="D3" s="25"/>
      <c r="E3" s="25"/>
      <c r="F3" s="25"/>
      <c r="G3" s="25"/>
      <c r="H3" s="25"/>
    </row>
    <row r="4" spans="1:18" x14ac:dyDescent="0.3">
      <c r="A4" s="30" t="str">
        <f>Hilfe!$A$12</f>
        <v>Diese Vorlage ist nur ein Beispiel. Holen Sie sich professionellen Rat ein und passen Sie die Vorlage an Ihre Anforderungen an.</v>
      </c>
      <c r="B4" s="31"/>
      <c r="C4" s="31"/>
      <c r="D4" s="31"/>
      <c r="E4" s="31"/>
      <c r="F4" s="31"/>
      <c r="G4" s="31"/>
      <c r="H4" s="32"/>
    </row>
    <row r="5" spans="1:18" x14ac:dyDescent="0.3">
      <c r="A5" s="30" t="str">
        <f>Hilfe!$A$13</f>
        <v>Converia übernimmt keine Haftung für Schäden jeglicher Art, die aus der Verwendung oder Nichtverwendung der Vorlage entstehen.</v>
      </c>
      <c r="B5" s="31"/>
      <c r="C5" s="31"/>
      <c r="D5" s="31"/>
      <c r="E5" s="31"/>
      <c r="F5" s="31"/>
      <c r="G5" s="31"/>
      <c r="H5" s="32"/>
    </row>
    <row r="6" spans="1:18" x14ac:dyDescent="0.3">
      <c r="A6" s="30" t="str">
        <f>Hilfe!$A$14</f>
        <v>Dies gilt insbesondere für Schäden durch Fehler, Unvollständigkeit oder Unrichtigkeit der Vorlage, enthaltener Daten und Formeln.</v>
      </c>
      <c r="B6" s="31"/>
      <c r="C6" s="31"/>
      <c r="D6" s="31"/>
      <c r="E6" s="31"/>
      <c r="F6" s="31"/>
      <c r="G6" s="31"/>
      <c r="H6" s="32"/>
    </row>
    <row r="7" spans="1:18" x14ac:dyDescent="0.3">
      <c r="A7" s="30" t="str">
        <f>Hilfe!$A$15</f>
        <v>Diese Vorlage ist urheberrechtlich geschützt. Converia behält sich das Recht vor, die Vorlage jederzeit zu ändern oder zu entfernen.</v>
      </c>
      <c r="B7" s="31"/>
      <c r="C7" s="31"/>
      <c r="D7" s="31"/>
      <c r="E7" s="31"/>
      <c r="F7" s="31"/>
      <c r="G7" s="31"/>
      <c r="H7" s="32"/>
    </row>
    <row r="8" spans="1:18" ht="18" x14ac:dyDescent="0.35">
      <c r="A8" s="19" t="str">
        <f>Hilfe!$A$6</f>
        <v>Mit Praxistipps sind Sie schneller:</v>
      </c>
      <c r="B8" s="19"/>
      <c r="C8" s="19"/>
      <c r="D8" s="19"/>
      <c r="E8" s="20" t="s">
        <v>125</v>
      </c>
      <c r="F8" s="20"/>
      <c r="G8" s="20"/>
      <c r="H8" s="20"/>
    </row>
    <row r="10" spans="1:18" x14ac:dyDescent="0.3">
      <c r="A10" t="s">
        <v>14</v>
      </c>
      <c r="B10" t="s">
        <v>0</v>
      </c>
      <c r="C10" t="s">
        <v>1</v>
      </c>
      <c r="D10" t="s">
        <v>2</v>
      </c>
      <c r="E10" t="s">
        <v>3</v>
      </c>
      <c r="F10" t="s">
        <v>5</v>
      </c>
      <c r="G10" t="s">
        <v>37</v>
      </c>
      <c r="H10" t="s">
        <v>38</v>
      </c>
      <c r="I10" t="s">
        <v>4</v>
      </c>
      <c r="J10" t="s">
        <v>6</v>
      </c>
      <c r="K10" t="s">
        <v>36</v>
      </c>
      <c r="L10" t="s">
        <v>86</v>
      </c>
      <c r="M10" t="s">
        <v>44</v>
      </c>
      <c r="N10" t="s">
        <v>47</v>
      </c>
      <c r="O10" t="s">
        <v>50</v>
      </c>
      <c r="P10" t="s">
        <v>48</v>
      </c>
      <c r="Q10" t="s">
        <v>49</v>
      </c>
      <c r="R10" t="s">
        <v>113</v>
      </c>
    </row>
    <row r="11" spans="1:18" x14ac:dyDescent="0.3">
      <c r="A11">
        <v>1</v>
      </c>
      <c r="B11" t="s">
        <v>7</v>
      </c>
      <c r="C11" t="s">
        <v>8</v>
      </c>
      <c r="D11" t="s">
        <v>61</v>
      </c>
      <c r="E11" s="4" t="s">
        <v>52</v>
      </c>
      <c r="F11" t="s">
        <v>51</v>
      </c>
      <c r="G11" t="s">
        <v>40</v>
      </c>
      <c r="H11">
        <v>99423</v>
      </c>
      <c r="I11" t="s">
        <v>39</v>
      </c>
      <c r="J11" t="s">
        <v>9</v>
      </c>
      <c r="K11">
        <f>COUNTIF(Tab_Beiträge[Einreicher-ID],Tab_Personen[[#This Row],[ID]])</f>
        <v>1</v>
      </c>
      <c r="L11">
        <f>COUNTIF(Tab_Beiträge[Gutachter-ID],Tab_Personen[[#This Row],[ID]])</f>
        <v>1</v>
      </c>
      <c r="M11" t="str">
        <f>IF(Tab_Personen[[#This Row],[Zahlbetrag]]&lt;0, "Überzahlt", IF(Tab_Personen[[#This Row],[Zahlbetrag]]&gt;0, "Offen", IF(Tab_Personen[[#This Row],[Zahlbetrag]]=0,"Bezahlt")))</f>
        <v>Offen</v>
      </c>
      <c r="N11" s="9">
        <f>ROUND(SUMIF(Tab_Buchungen[Person-ID],Tab_Personen[[#This Row],[ID]],Tab_Buchungen[Restbetrag/Buchung]), 2)</f>
        <v>12.9</v>
      </c>
      <c r="O11" t="str">
        <f t="array" ref="O11">_xlfn.TEXTJOIN("; ",TRUE, IF(Tab_Buchungen[Person-ID]=Tab_Personen[[#This Row],[ID]],IF(Tab_Buchungen[Storniert]="",Tab_Buchungen[Buchung],""),""))</f>
        <v>Tag1; Tag2</v>
      </c>
      <c r="P11" t="s">
        <v>10</v>
      </c>
    </row>
    <row r="12" spans="1:18" x14ac:dyDescent="0.3">
      <c r="A12">
        <v>2</v>
      </c>
      <c r="B12" t="s">
        <v>94</v>
      </c>
      <c r="C12" t="s">
        <v>11</v>
      </c>
      <c r="D12" t="s">
        <v>12</v>
      </c>
      <c r="E12" s="4" t="s">
        <v>52</v>
      </c>
      <c r="F12" t="s">
        <v>30</v>
      </c>
      <c r="G12" t="s">
        <v>41</v>
      </c>
      <c r="H12">
        <v>99425</v>
      </c>
      <c r="I12" t="s">
        <v>39</v>
      </c>
      <c r="J12" t="s">
        <v>13</v>
      </c>
      <c r="K12">
        <f>COUNTIF(Tab_Beiträge[Einreicher-ID],Tab_Personen[[#This Row],[ID]])</f>
        <v>1</v>
      </c>
      <c r="L12">
        <f>COUNTIF(Tab_Beiträge[Gutachter-ID],Tab_Personen[[#This Row],[ID]])</f>
        <v>1</v>
      </c>
      <c r="M12" t="str">
        <f>IF(Tab_Personen[[#This Row],[Zahlbetrag]]&lt;0, "Überzahlt", IF(Tab_Personen[[#This Row],[Zahlbetrag]]&gt;0, "Offen", IF(Tab_Personen[[#This Row],[Zahlbetrag]]=0,"Bezahlt")))</f>
        <v>Überzahlt</v>
      </c>
      <c r="N12" s="9">
        <f>ROUND(SUMIF(Tab_Buchungen[Person-ID],Tab_Personen[[#This Row],[ID]],Tab_Buchungen[Restbetrag/Buchung]), 2)</f>
        <v>-5.3</v>
      </c>
      <c r="O12" t="str">
        <f t="array" ref="O12">_xlfn.TEXTJOIN("; ",TRUE, IF(Tab_Buchungen[Person-ID]=Tab_Personen[[#This Row],[ID]],IF(Tab_Buchungen[Storniert]="",Tab_Buchungen[Buchung],""),""))</f>
        <v>Tag1</v>
      </c>
      <c r="P12" t="s">
        <v>10</v>
      </c>
    </row>
    <row r="13" spans="1:18" ht="13.8" customHeight="1" x14ac:dyDescent="0.3">
      <c r="A13">
        <v>3</v>
      </c>
      <c r="B13" t="s">
        <v>95</v>
      </c>
      <c r="C13" t="s">
        <v>22</v>
      </c>
      <c r="D13" t="s">
        <v>29</v>
      </c>
      <c r="E13" s="4" t="s">
        <v>52</v>
      </c>
      <c r="F13" t="s">
        <v>62</v>
      </c>
      <c r="G13" t="s">
        <v>42</v>
      </c>
      <c r="H13">
        <v>99427</v>
      </c>
      <c r="I13" t="s">
        <v>39</v>
      </c>
      <c r="J13" t="s">
        <v>21</v>
      </c>
      <c r="K13">
        <f>COUNTIF(Tab_Beiträge[Einreicher-ID],Tab_Personen[[#This Row],[ID]])</f>
        <v>1</v>
      </c>
      <c r="L13">
        <f>COUNTIF(Tab_Beiträge[Gutachter-ID],Tab_Personen[[#This Row],[ID]])</f>
        <v>1</v>
      </c>
      <c r="M13" t="str">
        <f>IF(Tab_Personen[[#This Row],[Zahlbetrag]]&lt;0, "Überzahlt", IF(Tab_Personen[[#This Row],[Zahlbetrag]]&gt;0, "Offen", IF(Tab_Personen[[#This Row],[Zahlbetrag]]=0,"Bezahlt")))</f>
        <v>Bezahlt</v>
      </c>
      <c r="N13" s="9">
        <f>ROUND(SUMIF(Tab_Buchungen[Person-ID],Tab_Personen[[#This Row],[ID]],Tab_Buchungen[Restbetrag/Buchung]), 2)</f>
        <v>0</v>
      </c>
      <c r="O13" t="str">
        <f t="array" ref="O13">_xlfn.TEXTJOIN("; ",TRUE, IF(Tab_Buchungen[Person-ID]=Tab_Personen[[#This Row],[ID]],IF(Tab_Buchungen[Storniert]="",Tab_Buchungen[Buchung],""),""))</f>
        <v>Tag1; Tag2; Feier</v>
      </c>
      <c r="P13" t="s">
        <v>10</v>
      </c>
      <c r="Q13" t="s">
        <v>10</v>
      </c>
      <c r="R13" t="s">
        <v>10</v>
      </c>
    </row>
  </sheetData>
  <mergeCells count="8">
    <mergeCell ref="A7:H7"/>
    <mergeCell ref="A8:D8"/>
    <mergeCell ref="E8:H8"/>
    <mergeCell ref="A1:C1"/>
    <mergeCell ref="A3:H3"/>
    <mergeCell ref="A4:H4"/>
    <mergeCell ref="A5:H5"/>
    <mergeCell ref="A6:H6"/>
  </mergeCells>
  <phoneticPr fontId="5" type="noConversion"/>
  <conditionalFormatting sqref="A11:R13">
    <cfRule type="expression" dxfId="34" priority="1">
      <formula>_xlfn.ISFORMULA(A11)</formula>
    </cfRule>
  </conditionalFormatting>
  <conditionalFormatting sqref="M11:M13">
    <cfRule type="cellIs" dxfId="33" priority="6" operator="equal">
      <formula>"Bezahlt"</formula>
    </cfRule>
    <cfRule type="cellIs" dxfId="32" priority="7" operator="equal">
      <formula>"Offen"</formula>
    </cfRule>
    <cfRule type="cellIs" dxfId="31" priority="8" operator="equal">
      <formula>"Überzahlt"</formula>
    </cfRule>
  </conditionalFormatting>
  <conditionalFormatting sqref="N11:N13">
    <cfRule type="cellIs" dxfId="30" priority="3" operator="equal">
      <formula>0</formula>
    </cfRule>
    <cfRule type="cellIs" dxfId="29" priority="4" operator="greaterThan">
      <formula>0</formula>
    </cfRule>
    <cfRule type="cellIs" dxfId="28" priority="5" operator="lessThan">
      <formula>0</formula>
    </cfRule>
  </conditionalFormatting>
  <conditionalFormatting sqref="P11:R13">
    <cfRule type="cellIs" dxfId="27" priority="2" operator="equal">
      <formula>"Ja"</formula>
    </cfRule>
  </conditionalFormatting>
  <dataValidations count="3">
    <dataValidation type="list" allowBlank="1" showInputMessage="1" showErrorMessage="1" errorTitle="Ungültiger Vermerk!" error="&quot;Ja&quot; eintragen oder Zelle leer lassen." promptTitle="&quot;Ja&quot; oder leer" prompt="Check-in mit &quot;Ja&quot; vermerken." sqref="P11:R13" xr:uid="{163D3A77-FE03-4A23-8AD6-446D06BDB3F8}">
      <formula1>"Ja"</formula1>
    </dataValidation>
    <dataValidation type="custom" allowBlank="1" showInputMessage="1" showErrorMessage="1" errorTitle="Diese ID ist vergeben!" error="Ein anderer Eintrag nutzt diese ID. Nächste freie ID wählen!" promptTitle="ID eintragen" prompt="Jede Zahl ist einmal erlaubt." sqref="A11:A13" xr:uid="{A140DB10-7B06-49A1-8071-6E47437E928F}">
      <formula1>COUNTIF($A$11:$A$99999,A11)&lt;2</formula1>
    </dataValidation>
    <dataValidation type="custom" allowBlank="1" showInputMessage="1" showErrorMessage="1" errorTitle="Dieser Anmeldename ist vergeben!" error="Ein anderer Eintrag nutzt diesen Anmeldenamen. Anderen Anmeldenamen wählen!" promptTitle="Anmeldename eintragen" prompt="Jeder Anmeldename ist einmal erlaubt." sqref="D11:D13" xr:uid="{60028DB2-83B8-4044-BC9F-2A0C50243669}">
      <formula1>COUNTIF($D$11:$D$99999,D11)&lt;2</formula1>
    </dataValidation>
  </dataValidations>
  <hyperlinks>
    <hyperlink ref="E11" r:id="rId1" xr:uid="{3D44B1CB-63FD-49A8-90ED-4F651929DE33}"/>
    <hyperlink ref="E12:E13" r:id="rId2" display="info@converia.de" xr:uid="{1C902AC6-8C67-4CF1-A766-5B5ECCB6EF72}"/>
    <hyperlink ref="E8" r:id="rId3" display="Converia testen »" xr:uid="{2CD1F63F-29E1-4C91-AA1C-00246261F062}"/>
    <hyperlink ref="E8:H8" location="Hilfe!A1" display="Blatt &quot;Hilfe&quot; öffnen" xr:uid="{E4A93254-3D15-4BC0-BC8D-FE42B2C9D36C}"/>
  </hyperlinks>
  <pageMargins left="0.7" right="0.7" top="0.78740157499999996" bottom="0.78740157499999996" header="0.3" footer="0.3"/>
  <pageSetup paperSize="9" orientation="portrait" r:id="rId4"/>
  <tableParts count="1"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Gruppe gibt es noch nicht!" error="Preise für Gruppe hinterlegen oder andere Gruppe nutzen!" promptTitle="Gruppe für Preis auswählen" prompt="Angelegte Preisgruppen sind erlaubt." xr:uid="{BDDB408A-3CC4-466C-8142-18881B733F32}">
          <x14:formula1>
            <xm:f>Leistungen!$F$12:$AZ$12</xm:f>
          </x14:formula1>
          <xm:sqref>J11:J13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03D4-D332-4E9E-8CE3-D360F7D7B3D8}">
  <sheetPr>
    <tabColor rgb="FFD20D6E"/>
  </sheetPr>
  <dimension ref="A1:V26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E8" sqref="E8:H8"/>
    </sheetView>
  </sheetViews>
  <sheetFormatPr baseColWidth="10" defaultRowHeight="14.4" x14ac:dyDescent="0.3"/>
  <cols>
    <col min="1" max="1" width="12.77734375" bestFit="1" customWidth="1"/>
    <col min="2" max="2" width="13" customWidth="1"/>
    <col min="3" max="3" width="15.109375" bestFit="1" customWidth="1"/>
    <col min="4" max="4" width="14.88671875" customWidth="1"/>
    <col min="5" max="5" width="16.109375" bestFit="1" customWidth="1"/>
    <col min="6" max="6" width="8.77734375" bestFit="1" customWidth="1"/>
    <col min="7" max="7" width="9.6640625" bestFit="1" customWidth="1"/>
    <col min="8" max="8" width="12.44140625" bestFit="1" customWidth="1"/>
    <col min="9" max="9" width="11.77734375" bestFit="1" customWidth="1"/>
    <col min="10" max="10" width="18.5546875" bestFit="1" customWidth="1"/>
    <col min="11" max="11" width="12.88671875" bestFit="1" customWidth="1"/>
    <col min="12" max="12" width="12.77734375" bestFit="1" customWidth="1"/>
    <col min="13" max="13" width="10.77734375" bestFit="1" customWidth="1"/>
    <col min="14" max="14" width="14.44140625" customWidth="1"/>
    <col min="15" max="15" width="10.5546875" bestFit="1" customWidth="1"/>
    <col min="16" max="16" width="20.77734375" bestFit="1" customWidth="1"/>
    <col min="17" max="17" width="19.44140625" bestFit="1" customWidth="1"/>
    <col min="18" max="18" width="11.88671875" bestFit="1" customWidth="1"/>
    <col min="19" max="19" width="15.5546875" bestFit="1" customWidth="1"/>
    <col min="20" max="20" width="11.109375" bestFit="1" customWidth="1"/>
    <col min="21" max="21" width="35.6640625" bestFit="1" customWidth="1"/>
    <col min="22" max="22" width="8.21875" bestFit="1" customWidth="1"/>
  </cols>
  <sheetData>
    <row r="1" spans="1:22" ht="20.399999999999999" thickBot="1" x14ac:dyDescent="0.45">
      <c r="A1" s="24" t="s">
        <v>18</v>
      </c>
      <c r="B1" s="24"/>
    </row>
    <row r="2" spans="1:22" ht="15" thickTop="1" x14ac:dyDescent="0.3"/>
    <row r="3" spans="1:22" x14ac:dyDescent="0.3">
      <c r="A3" s="25" t="str">
        <f>Hilfe!$A$11</f>
        <v>Vorlage im Mai 2024 bereitgestellt von Converia – Konferenz-Management-Software.</v>
      </c>
      <c r="B3" s="25"/>
      <c r="C3" s="25"/>
      <c r="D3" s="25"/>
      <c r="E3" s="25"/>
      <c r="F3" s="25"/>
      <c r="G3" s="25"/>
      <c r="H3" s="25"/>
    </row>
    <row r="4" spans="1:22" x14ac:dyDescent="0.3">
      <c r="A4" s="30" t="str">
        <f>Hilfe!$A$12</f>
        <v>Diese Vorlage ist nur ein Beispiel. Holen Sie sich professionellen Rat ein und passen Sie die Vorlage an Ihre Anforderungen an.</v>
      </c>
      <c r="B4" s="31"/>
      <c r="C4" s="31"/>
      <c r="D4" s="31"/>
      <c r="E4" s="31"/>
      <c r="F4" s="31"/>
      <c r="G4" s="31"/>
      <c r="H4" s="32"/>
    </row>
    <row r="5" spans="1:22" x14ac:dyDescent="0.3">
      <c r="A5" s="30" t="str">
        <f>Hilfe!$A$13</f>
        <v>Converia übernimmt keine Haftung für Schäden jeglicher Art, die aus der Verwendung oder Nichtverwendung der Vorlage entstehen.</v>
      </c>
      <c r="B5" s="31"/>
      <c r="C5" s="31"/>
      <c r="D5" s="31"/>
      <c r="E5" s="31"/>
      <c r="F5" s="31"/>
      <c r="G5" s="31"/>
      <c r="H5" s="32"/>
    </row>
    <row r="6" spans="1:22" x14ac:dyDescent="0.3">
      <c r="A6" s="30" t="str">
        <f>Hilfe!$A$14</f>
        <v>Dies gilt insbesondere für Schäden durch Fehler, Unvollständigkeit oder Unrichtigkeit der Vorlage, enthaltener Daten und Formeln.</v>
      </c>
      <c r="B6" s="31"/>
      <c r="C6" s="31"/>
      <c r="D6" s="31"/>
      <c r="E6" s="31"/>
      <c r="F6" s="31"/>
      <c r="G6" s="31"/>
      <c r="H6" s="32"/>
    </row>
    <row r="7" spans="1:22" x14ac:dyDescent="0.3">
      <c r="A7" s="30" t="str">
        <f>Hilfe!$A$15</f>
        <v>Diese Vorlage ist urheberrechtlich geschützt. Converia behält sich das Recht vor, die Vorlage jederzeit zu ändern oder zu entfernen.</v>
      </c>
      <c r="B7" s="31"/>
      <c r="C7" s="31"/>
      <c r="D7" s="31"/>
      <c r="E7" s="31"/>
      <c r="F7" s="31"/>
      <c r="G7" s="31"/>
      <c r="H7" s="32"/>
    </row>
    <row r="8" spans="1:22" ht="18" x14ac:dyDescent="0.35">
      <c r="A8" s="19" t="str">
        <f>Hilfe!$A$6</f>
        <v>Mit Praxistipps sind Sie schneller:</v>
      </c>
      <c r="B8" s="19"/>
      <c r="C8" s="19"/>
      <c r="D8" s="19"/>
      <c r="E8" s="20" t="s">
        <v>125</v>
      </c>
      <c r="F8" s="20"/>
      <c r="G8" s="20"/>
      <c r="H8" s="20"/>
    </row>
    <row r="10" spans="1:22" x14ac:dyDescent="0.3">
      <c r="L10" s="2" t="s">
        <v>108</v>
      </c>
      <c r="M10" s="1">
        <v>0.5</v>
      </c>
    </row>
    <row r="12" spans="1:22" x14ac:dyDescent="0.3">
      <c r="A12" t="s">
        <v>27</v>
      </c>
      <c r="B12" t="s">
        <v>33</v>
      </c>
      <c r="C12" t="s">
        <v>90</v>
      </c>
      <c r="D12" t="s">
        <v>104</v>
      </c>
      <c r="E12" t="s">
        <v>34</v>
      </c>
      <c r="F12" t="s">
        <v>28</v>
      </c>
      <c r="G12" t="s">
        <v>6</v>
      </c>
      <c r="H12" t="s">
        <v>60</v>
      </c>
      <c r="I12" t="s">
        <v>35</v>
      </c>
      <c r="J12" t="s">
        <v>58</v>
      </c>
      <c r="K12" t="s">
        <v>59</v>
      </c>
      <c r="L12" t="s">
        <v>17</v>
      </c>
      <c r="M12" t="s">
        <v>105</v>
      </c>
      <c r="N12" t="s">
        <v>106</v>
      </c>
      <c r="O12" t="s">
        <v>107</v>
      </c>
      <c r="P12" t="s">
        <v>56</v>
      </c>
      <c r="Q12" t="s">
        <v>57</v>
      </c>
      <c r="R12" t="s">
        <v>44</v>
      </c>
      <c r="S12" t="s">
        <v>0</v>
      </c>
      <c r="T12" t="s">
        <v>1</v>
      </c>
      <c r="U12" t="s">
        <v>5</v>
      </c>
      <c r="V12" t="s">
        <v>4</v>
      </c>
    </row>
    <row r="13" spans="1:22" x14ac:dyDescent="0.3">
      <c r="A13">
        <v>1</v>
      </c>
      <c r="B13" t="s">
        <v>19</v>
      </c>
      <c r="C13" s="10" t="str">
        <f>VLOOKUP(Tab_Buchungen[[#This Row],[Buchung]],Tab_Leistungen[],MATCH(Tab_Buchungen[[#Headers],[Verfügbarkeit]],Tab_Leistungen[#Headers], 0),FALSE)</f>
        <v>Frei</v>
      </c>
      <c r="D13" s="11">
        <v>45243</v>
      </c>
      <c r="E13" s="12" t="s">
        <v>25</v>
      </c>
      <c r="F13" s="13">
        <f>IF(ISBLANK(Tab_Buchungen[[#This Row],[Gutscheincode]]),0,VLOOKUP(Tab_Buchungen[[#This Row],[Gutscheincode]],Tab_Gutscheine[],MATCH(Tab_Buchungen[[#Headers],[Rabatt]],Tab_Gutscheine[#Headers],0),FALSE))</f>
        <v>0.1</v>
      </c>
      <c r="G13" t="str">
        <f>VLOOKUP(Tab_Buchungen[[#This Row],[Person-ID]],Tab_Personen[],MATCH(Tab_Buchungen[[#Headers],[Gruppe]],Tab_Personen[#Headers],0),FALSE)</f>
        <v>Student</v>
      </c>
      <c r="H13" s="9">
        <f>VLOOKUP(Tab_Buchungen[[#This Row],[Buchung]],Tab_Leistungen[], MATCH(Tab_Buchungen[[#This Row],[Gruppe]],Tab_Leistungen[#Headers],0),FALSE)</f>
        <v>17.646999999999998</v>
      </c>
      <c r="I13" s="9">
        <f>(1-Tab_Buchungen[[#This Row],[Rabatt]])*Tab_Buchungen[[#This Row],[Nettopreis]]</f>
        <v>15.882299999999999</v>
      </c>
      <c r="J13" s="13">
        <f>VLOOKUP(Tab_Buchungen[[#This Row],[Buchung]],Tab_Leistungen[],MATCH(Tab_Buchungen[[#Headers],[Umsatzsteuersatz]],Tab_Leistungen[#Headers],0),FALSE)</f>
        <v>0.19</v>
      </c>
      <c r="K13" s="9">
        <f>Tab_Buchungen[[#This Row],[Rabattiert]]*(1+Tab_Buchungen[[#This Row],[Umsatzsteuersatz]])</f>
        <v>18.899936999999998</v>
      </c>
      <c r="L13" s="9">
        <v>34</v>
      </c>
      <c r="N13" s="11"/>
      <c r="O13" s="9"/>
      <c r="P13" s="14">
        <f>ROUND(IF(Tab_Buchungen[[#This Row],[Storniert]] = "Ja", Tab_Buchungen[[#This Row],[Bruttopreis]]*$M$10-Tab_Buchungen[[#This Row],[Bezahlt]]+Tab_Buchungen[[#This Row],[Erstattet]], Tab_Buchungen[[#This Row],[Bruttopreis]]-Tab_Buchungen[[#This Row],[Bezahlt]]+Tab_Buchungen[[#This Row],[Erstattet]]),2)</f>
        <v>-15.1</v>
      </c>
      <c r="Q13" s="15">
        <f>IF(Tab_Buchungen[[#This Row],[Person-ID]]=$A12,"⬆️",ROUND(SUMIFS(Tab_Buchungen[Restbetrag/Buchung], Tab_Buchungen[Person-ID],Tab_Buchungen[[#This Row],[Person-ID]]),2))</f>
        <v>12.9</v>
      </c>
      <c r="R13" s="8" t="str">
        <f>IF(Tab_Buchungen[[#This Row],[Restbetrag/Person]]="⬆️","⬆️",IF(Tab_Buchungen[[#This Row],[Restbetrag/Person]]&lt;0, "Überzahlt", IF(Tab_Buchungen[[#This Row],[Restbetrag/Person]]&gt;0, "Offen", IF(Tab_Buchungen[[#This Row],[Restbetrag/Person]]=0,"Bezahlt"))))</f>
        <v>Offen</v>
      </c>
      <c r="S13" t="str">
        <f>VLOOKUP(Tab_Buchungen[[#This Row],[Person-ID]],Tab_Personen[],MATCH(Tab_Buchungen[[#Headers],[Name]],Tab_Personen[#Headers],0),FALSE)</f>
        <v>Müller</v>
      </c>
      <c r="T13" t="str">
        <f>VLOOKUP(Tab_Buchungen[[#This Row],[Person-ID]],Tab_Personen[],MATCH(Tab_Buchungen[[#Headers],[Vorname]],Tab_Personen[#Headers],0),FALSE)</f>
        <v>Max</v>
      </c>
      <c r="U13" t="str">
        <f>VLOOKUP(Tab_Buchungen[[#This Row],[Person-ID]],Tab_Personen[],MATCH(Tab_Buchungen[[#Headers],[Organisation]],Tab_Personen[#Headers],0),FALSE)</f>
        <v>Haftet-immer UG (haftungsbeschränkt)</v>
      </c>
      <c r="V13" t="str">
        <f>VLOOKUP(Tab_Buchungen[[#This Row],[Person-ID]],Tab_Personen[],MATCH(Tab_Buchungen[[#Headers],[Ort]],Tab_Personen[#Headers],0),FALSE)</f>
        <v>Weimar</v>
      </c>
    </row>
    <row r="14" spans="1:22" x14ac:dyDescent="0.3">
      <c r="A14">
        <v>1</v>
      </c>
      <c r="B14" t="s">
        <v>20</v>
      </c>
      <c r="C14" s="10" t="str">
        <f>VLOOKUP(Tab_Buchungen[[#This Row],[Buchung]],Tab_Leistungen[],MATCH(Tab_Buchungen[[#Headers],[Verfügbarkeit]],Tab_Leistungen[#Headers], 0),FALSE)</f>
        <v>Frei</v>
      </c>
      <c r="D14" s="11">
        <v>45243</v>
      </c>
      <c r="E14" s="12"/>
      <c r="F14" s="13">
        <f>IF(ISBLANK(Tab_Buchungen[[#This Row],[Gutscheincode]]),0,VLOOKUP(Tab_Buchungen[[#This Row],[Gutscheincode]],Tab_Gutscheine[],MATCH(Tab_Buchungen[[#Headers],[Rabatt]],Tab_Gutscheine[#Headers],0),FALSE))</f>
        <v>0</v>
      </c>
      <c r="G14" t="str">
        <f>VLOOKUP(Tab_Buchungen[[#This Row],[Person-ID]],Tab_Personen[],MATCH(Tab_Buchungen[[#Headers],[Gruppe]],Tab_Personen[#Headers],0),FALSE)</f>
        <v>Student</v>
      </c>
      <c r="H14" s="9">
        <f>VLOOKUP(Tab_Buchungen[[#This Row],[Buchung]],Tab_Leistungen[], MATCH(Tab_Buchungen[[#This Row],[Gruppe]],Tab_Leistungen[#Headers],0),FALSE)</f>
        <v>23.526999999999997</v>
      </c>
      <c r="I14" s="9">
        <f>(1-Tab_Buchungen[[#This Row],[Rabatt]])*Tab_Buchungen[[#This Row],[Nettopreis]]</f>
        <v>23.526999999999997</v>
      </c>
      <c r="J14" s="16">
        <f>VLOOKUP(Tab_Buchungen[[#This Row],[Buchung]],Tab_Leistungen[],MATCH(Tab_Buchungen[[#Headers],[Umsatzsteuersatz]],Tab_Leistungen[#Headers],0),FALSE)</f>
        <v>0.19</v>
      </c>
      <c r="K14" s="9">
        <f>Tab_Buchungen[[#This Row],[Rabattiert]]*(1+Tab_Buchungen[[#This Row],[Umsatzsteuersatz]])</f>
        <v>27.997129999999995</v>
      </c>
      <c r="L14" s="9"/>
      <c r="N14" s="11"/>
      <c r="O14" s="9"/>
      <c r="P14" s="14">
        <f>ROUND(IF(Tab_Buchungen[[#This Row],[Storniert]] = "Ja", Tab_Buchungen[[#This Row],[Bruttopreis]]*$M$10-Tab_Buchungen[[#This Row],[Bezahlt]]+Tab_Buchungen[[#This Row],[Erstattet]], Tab_Buchungen[[#This Row],[Bruttopreis]]-Tab_Buchungen[[#This Row],[Bezahlt]]+Tab_Buchungen[[#This Row],[Erstattet]]),2)</f>
        <v>28</v>
      </c>
      <c r="Q14" s="15" t="str">
        <f>IF(Tab_Buchungen[[#This Row],[Person-ID]]=$A13,"⬆️",ROUND(SUMIFS(Tab_Buchungen[Restbetrag/Buchung], Tab_Buchungen[Person-ID],Tab_Buchungen[[#This Row],[Person-ID]]),2))</f>
        <v>⬆️</v>
      </c>
      <c r="R14" s="8" t="str">
        <f>IF(Tab_Buchungen[[#This Row],[Restbetrag/Person]]="⬆️","⬆️",IF(Tab_Buchungen[[#This Row],[Restbetrag/Person]]&lt;0, "Überzahlt", IF(Tab_Buchungen[[#This Row],[Restbetrag/Person]]&gt;0, "Offen", IF(Tab_Buchungen[[#This Row],[Restbetrag/Person]]=0,"Bezahlt"))))</f>
        <v>⬆️</v>
      </c>
      <c r="S14" t="str">
        <f>VLOOKUP(Tab_Buchungen[[#This Row],[Person-ID]],Tab_Personen[],MATCH(Tab_Buchungen[[#Headers],[Name]],Tab_Personen[#Headers],0),FALSE)</f>
        <v>Müller</v>
      </c>
      <c r="T14" t="str">
        <f>VLOOKUP(Tab_Buchungen[[#This Row],[Person-ID]],Tab_Personen[],MATCH(Tab_Buchungen[[#Headers],[Vorname]],Tab_Personen[#Headers],0),FALSE)</f>
        <v>Max</v>
      </c>
      <c r="U14" t="str">
        <f>VLOOKUP(Tab_Buchungen[[#This Row],[Person-ID]],Tab_Personen[],MATCH(Tab_Buchungen[[#Headers],[Organisation]],Tab_Personen[#Headers],0),FALSE)</f>
        <v>Haftet-immer UG (haftungsbeschränkt)</v>
      </c>
      <c r="V14" t="str">
        <f>VLOOKUP(Tab_Buchungen[[#This Row],[Person-ID]],Tab_Personen[],MATCH(Tab_Buchungen[[#Headers],[Ort]],Tab_Personen[#Headers],0),FALSE)</f>
        <v>Weimar</v>
      </c>
    </row>
    <row r="15" spans="1:22" x14ac:dyDescent="0.3">
      <c r="A15">
        <v>2</v>
      </c>
      <c r="B15" t="s">
        <v>19</v>
      </c>
      <c r="C15" s="10" t="str">
        <f>VLOOKUP(Tab_Buchungen[[#This Row],[Buchung]],Tab_Leistungen[],MATCH(Tab_Buchungen[[#Headers],[Verfügbarkeit]],Tab_Leistungen[#Headers], 0),FALSE)</f>
        <v>Frei</v>
      </c>
      <c r="D15" s="11">
        <v>45245</v>
      </c>
      <c r="E15" s="12" t="s">
        <v>45</v>
      </c>
      <c r="F15" s="13">
        <f>IF(ISBLANK(Tab_Buchungen[[#This Row],[Gutscheincode]]),0,VLOOKUP(Tab_Buchungen[[#This Row],[Gutscheincode]],Tab_Gutscheine[],MATCH(Tab_Buchungen[[#Headers],[Rabatt]],Tab_Gutscheine[#Headers],0),FALSE))</f>
        <v>0.3</v>
      </c>
      <c r="G15" t="str">
        <f>VLOOKUP(Tab_Buchungen[[#This Row],[Person-ID]],Tab_Personen[],MATCH(Tab_Buchungen[[#Headers],[Gruppe]],Tab_Personen[#Headers],0),FALSE)</f>
        <v>VIP</v>
      </c>
      <c r="H15" s="9">
        <f>VLOOKUP(Tab_Buchungen[[#This Row],[Buchung]],Tab_Leistungen[], MATCH(Tab_Buchungen[[#This Row],[Gruppe]],Tab_Leistungen[#Headers],0),FALSE)</f>
        <v>12.605</v>
      </c>
      <c r="I15" s="9">
        <f>(1-Tab_Buchungen[[#This Row],[Rabatt]])*Tab_Buchungen[[#This Row],[Nettopreis]]</f>
        <v>8.8234999999999992</v>
      </c>
      <c r="J15" s="16">
        <f>VLOOKUP(Tab_Buchungen[[#This Row],[Buchung]],Tab_Leistungen[],MATCH(Tab_Buchungen[[#Headers],[Umsatzsteuersatz]],Tab_Leistungen[#Headers],0),FALSE)</f>
        <v>0.19</v>
      </c>
      <c r="K15" s="9">
        <f>Tab_Buchungen[[#This Row],[Rabattiert]]*(1+Tab_Buchungen[[#This Row],[Umsatzsteuersatz]])</f>
        <v>10.499964999999998</v>
      </c>
      <c r="L15" s="9">
        <v>20</v>
      </c>
      <c r="N15" s="11"/>
      <c r="O15" s="9"/>
      <c r="P15" s="14">
        <f>ROUND(IF(Tab_Buchungen[[#This Row],[Storniert]] = "Ja", Tab_Buchungen[[#This Row],[Bruttopreis]]*$M$10-Tab_Buchungen[[#This Row],[Bezahlt]]+Tab_Buchungen[[#This Row],[Erstattet]], Tab_Buchungen[[#This Row],[Bruttopreis]]-Tab_Buchungen[[#This Row],[Bezahlt]]+Tab_Buchungen[[#This Row],[Erstattet]]),2)</f>
        <v>-9.5</v>
      </c>
      <c r="Q15" s="15">
        <f>IF(Tab_Buchungen[[#This Row],[Person-ID]]=$A14,"⬆️",ROUND(SUMIFS(Tab_Buchungen[Restbetrag/Buchung], Tab_Buchungen[Person-ID],Tab_Buchungen[[#This Row],[Person-ID]]),2))</f>
        <v>-5.3</v>
      </c>
      <c r="R15" s="8" t="str">
        <f>IF(Tab_Buchungen[[#This Row],[Restbetrag/Person]]="⬆️","⬆️",IF(Tab_Buchungen[[#This Row],[Restbetrag/Person]]&lt;0, "Überzahlt", IF(Tab_Buchungen[[#This Row],[Restbetrag/Person]]&gt;0, "Offen", IF(Tab_Buchungen[[#This Row],[Restbetrag/Person]]=0,"Bezahlt"))))</f>
        <v>Überzahlt</v>
      </c>
      <c r="S15" t="str">
        <f>VLOOKUP(Tab_Buchungen[[#This Row],[Person-ID]],Tab_Personen[],MATCH(Tab_Buchungen[[#Headers],[Name]],Tab_Personen[#Headers],0),FALSE)</f>
        <v>Bäthe-Koslowski</v>
      </c>
      <c r="T15" t="str">
        <f>VLOOKUP(Tab_Buchungen[[#This Row],[Person-ID]],Tab_Personen[],MATCH(Tab_Buchungen[[#Headers],[Vorname]],Tab_Personen[#Headers],0),FALSE)</f>
        <v>Bärbel</v>
      </c>
      <c r="U15" t="str">
        <f>VLOOKUP(Tab_Buchungen[[#This Row],[Person-ID]],Tab_Personen[],MATCH(Tab_Buchungen[[#Headers],[Organisation]],Tab_Personen[#Headers],0),FALSE)</f>
        <v>Meilenweit daneben Consulting GmbH</v>
      </c>
      <c r="V15" t="str">
        <f>VLOOKUP(Tab_Buchungen[[#This Row],[Person-ID]],Tab_Personen[],MATCH(Tab_Buchungen[[#Headers],[Ort]],Tab_Personen[#Headers],0),FALSE)</f>
        <v>Weimar</v>
      </c>
    </row>
    <row r="16" spans="1:22" x14ac:dyDescent="0.3">
      <c r="A16">
        <v>2</v>
      </c>
      <c r="B16" t="s">
        <v>112</v>
      </c>
      <c r="C16" s="10" t="str">
        <f>VLOOKUP(Tab_Buchungen[[#This Row],[Buchung]],Tab_Leistungen[],MATCH(Tab_Buchungen[[#Headers],[Verfügbarkeit]],Tab_Leistungen[#Headers], 0),FALSE)</f>
        <v>Frei</v>
      </c>
      <c r="D16" s="11">
        <v>45245</v>
      </c>
      <c r="E16" s="12" t="s">
        <v>26</v>
      </c>
      <c r="F16" s="13">
        <f>IF(ISBLANK(Tab_Buchungen[[#This Row],[Gutscheincode]]),0,VLOOKUP(Tab_Buchungen[[#This Row],[Gutscheincode]],Tab_Gutscheine[],MATCH(Tab_Buchungen[[#Headers],[Rabatt]],Tab_Gutscheine[#Headers],0),FALSE))</f>
        <v>0.2</v>
      </c>
      <c r="G16" t="str">
        <f>VLOOKUP(Tab_Buchungen[[#This Row],[Person-ID]],Tab_Personen[],MATCH(Tab_Buchungen[[#Headers],[Gruppe]],Tab_Personen[#Headers],0),FALSE)</f>
        <v>VIP</v>
      </c>
      <c r="H16" s="9">
        <f>VLOOKUP(Tab_Buchungen[[#This Row],[Buchung]],Tab_Leistungen[], MATCH(Tab_Buchungen[[#This Row],[Gruppe]],Tab_Leistungen[#Headers],0),FALSE)</f>
        <v>9.8149999999999995</v>
      </c>
      <c r="I16" s="9">
        <f>(1-Tab_Buchungen[[#This Row],[Rabatt]])*Tab_Buchungen[[#This Row],[Nettopreis]]</f>
        <v>7.8520000000000003</v>
      </c>
      <c r="J16" s="16">
        <f>VLOOKUP(Tab_Buchungen[[#This Row],[Buchung]],Tab_Leistungen[],MATCH(Tab_Buchungen[[#Headers],[Umsatzsteuersatz]],Tab_Leistungen[#Headers],0),FALSE)</f>
        <v>7.0000000000000007E-2</v>
      </c>
      <c r="K16" s="9">
        <f>Tab_Buchungen[[#This Row],[Rabattiert]]*(1+Tab_Buchungen[[#This Row],[Umsatzsteuersatz]])</f>
        <v>8.4016400000000004</v>
      </c>
      <c r="L16" s="9"/>
      <c r="M16" t="s">
        <v>10</v>
      </c>
      <c r="N16" s="11">
        <v>45245</v>
      </c>
      <c r="O16" s="9"/>
      <c r="P16" s="14">
        <f>ROUND(IF(Tab_Buchungen[[#This Row],[Storniert]] = "Ja", Tab_Buchungen[[#This Row],[Bruttopreis]]*$M$10-Tab_Buchungen[[#This Row],[Bezahlt]]+Tab_Buchungen[[#This Row],[Erstattet]], Tab_Buchungen[[#This Row],[Bruttopreis]]-Tab_Buchungen[[#This Row],[Bezahlt]]+Tab_Buchungen[[#This Row],[Erstattet]]),2)</f>
        <v>4.2</v>
      </c>
      <c r="Q16" s="15" t="str">
        <f>IF(Tab_Buchungen[[#This Row],[Person-ID]]=$A15,"⬆️",ROUND(SUMIFS(Tab_Buchungen[Restbetrag/Buchung], Tab_Buchungen[Person-ID],Tab_Buchungen[[#This Row],[Person-ID]]),2))</f>
        <v>⬆️</v>
      </c>
      <c r="R16" s="8" t="str">
        <f>IF(Tab_Buchungen[[#This Row],[Restbetrag/Person]]="⬆️","⬆️",IF(Tab_Buchungen[[#This Row],[Restbetrag/Person]]&lt;0, "Überzahlt", IF(Tab_Buchungen[[#This Row],[Restbetrag/Person]]&gt;0, "Offen", IF(Tab_Buchungen[[#This Row],[Restbetrag/Person]]=0,"Bezahlt"))))</f>
        <v>⬆️</v>
      </c>
      <c r="S16" t="str">
        <f>VLOOKUP(Tab_Buchungen[[#This Row],[Person-ID]],Tab_Personen[],MATCH(Tab_Buchungen[[#Headers],[Name]],Tab_Personen[#Headers],0),FALSE)</f>
        <v>Bäthe-Koslowski</v>
      </c>
      <c r="T16" t="str">
        <f>VLOOKUP(Tab_Buchungen[[#This Row],[Person-ID]],Tab_Personen[],MATCH(Tab_Buchungen[[#Headers],[Vorname]],Tab_Personen[#Headers],0),FALSE)</f>
        <v>Bärbel</v>
      </c>
      <c r="U16" t="str">
        <f>VLOOKUP(Tab_Buchungen[[#This Row],[Person-ID]],Tab_Personen[],MATCH(Tab_Buchungen[[#Headers],[Organisation]],Tab_Personen[#Headers],0),FALSE)</f>
        <v>Meilenweit daneben Consulting GmbH</v>
      </c>
      <c r="V16" t="str">
        <f>VLOOKUP(Tab_Buchungen[[#This Row],[Person-ID]],Tab_Personen[],MATCH(Tab_Buchungen[[#Headers],[Ort]],Tab_Personen[#Headers],0),FALSE)</f>
        <v>Weimar</v>
      </c>
    </row>
    <row r="17" spans="1:22" x14ac:dyDescent="0.3">
      <c r="A17">
        <v>3</v>
      </c>
      <c r="B17" t="s">
        <v>19</v>
      </c>
      <c r="C17" s="10" t="str">
        <f>VLOOKUP(Tab_Buchungen[[#This Row],[Buchung]],Tab_Leistungen[],MATCH(Tab_Buchungen[[#Headers],[Verfügbarkeit]],Tab_Leistungen[#Headers], 0),FALSE)</f>
        <v>Frei</v>
      </c>
      <c r="D17" s="11">
        <v>45236</v>
      </c>
      <c r="E17" s="12" t="s">
        <v>26</v>
      </c>
      <c r="F17" s="13">
        <f>IF(ISBLANK(Tab_Buchungen[[#This Row],[Gutscheincode]]),0,VLOOKUP(Tab_Buchungen[[#This Row],[Gutscheincode]],Tab_Gutscheine[],MATCH(Tab_Buchungen[[#Headers],[Rabatt]],Tab_Gutscheine[#Headers],0),FALSE))</f>
        <v>0.2</v>
      </c>
      <c r="G17" t="str">
        <f>VLOOKUP(Tab_Buchungen[[#This Row],[Person-ID]],Tab_Personen[],MATCH(Tab_Buchungen[[#Headers],[Gruppe]],Tab_Personen[#Headers],0),FALSE)</f>
        <v>Normal</v>
      </c>
      <c r="H17" s="9">
        <f>VLOOKUP(Tab_Buchungen[[#This Row],[Buchung]],Tab_Leistungen[], MATCH(Tab_Buchungen[[#This Row],[Gruppe]],Tab_Leistungen[#Headers],0),FALSE)</f>
        <v>25.21</v>
      </c>
      <c r="I17" s="9">
        <f>(1-Tab_Buchungen[[#This Row],[Rabatt]])*Tab_Buchungen[[#This Row],[Nettopreis]]</f>
        <v>20.168000000000003</v>
      </c>
      <c r="J17" s="16">
        <f>VLOOKUP(Tab_Buchungen[[#This Row],[Buchung]],Tab_Leistungen[],MATCH(Tab_Buchungen[[#Headers],[Umsatzsteuersatz]],Tab_Leistungen[#Headers],0),FALSE)</f>
        <v>0.19</v>
      </c>
      <c r="K17" s="9">
        <f>Tab_Buchungen[[#This Row],[Rabattiert]]*(1+Tab_Buchungen[[#This Row],[Umsatzsteuersatz]])</f>
        <v>23.999920000000003</v>
      </c>
      <c r="L17" s="9">
        <v>26</v>
      </c>
      <c r="N17" s="11"/>
      <c r="O17" s="9"/>
      <c r="P17" s="14">
        <f>ROUND(IF(Tab_Buchungen[[#This Row],[Storniert]] = "Ja", Tab_Buchungen[[#This Row],[Bruttopreis]]*$M$10-Tab_Buchungen[[#This Row],[Bezahlt]]+Tab_Buchungen[[#This Row],[Erstattet]], Tab_Buchungen[[#This Row],[Bruttopreis]]-Tab_Buchungen[[#This Row],[Bezahlt]]+Tab_Buchungen[[#This Row],[Erstattet]]),2)</f>
        <v>-2</v>
      </c>
      <c r="Q17" s="15">
        <f>IF(Tab_Buchungen[[#This Row],[Person-ID]]=$A16,"⬆️",ROUND(SUMIFS(Tab_Buchungen[Restbetrag/Buchung], Tab_Buchungen[Person-ID],Tab_Buchungen[[#This Row],[Person-ID]]),2))</f>
        <v>0</v>
      </c>
      <c r="R17" s="8" t="str">
        <f>IF(Tab_Buchungen[[#This Row],[Restbetrag/Person]]="⬆️","⬆️",IF(Tab_Buchungen[[#This Row],[Restbetrag/Person]]&lt;0, "Überzahlt", IF(Tab_Buchungen[[#This Row],[Restbetrag/Person]]&gt;0, "Offen", IF(Tab_Buchungen[[#This Row],[Restbetrag/Person]]=0,"Bezahlt"))))</f>
        <v>Bezahlt</v>
      </c>
      <c r="S17" t="str">
        <f>VLOOKUP(Tab_Buchungen[[#This Row],[Person-ID]],Tab_Personen[],MATCH(Tab_Buchungen[[#Headers],[Name]],Tab_Personen[#Headers],0),FALSE)</f>
        <v>Warstein</v>
      </c>
      <c r="T17" t="str">
        <f>VLOOKUP(Tab_Buchungen[[#This Row],[Person-ID]],Tab_Personen[],MATCH(Tab_Buchungen[[#Headers],[Vorname]],Tab_Personen[#Headers],0),FALSE)</f>
        <v>Malte</v>
      </c>
      <c r="U17" t="str">
        <f>VLOOKUP(Tab_Buchungen[[#This Row],[Person-ID]],Tab_Personen[],MATCH(Tab_Buchungen[[#Headers],[Organisation]],Tab_Personen[#Headers],0),FALSE)</f>
        <v>Besser schnell wieder vergessen GbR</v>
      </c>
      <c r="V17" t="str">
        <f>VLOOKUP(Tab_Buchungen[[#This Row],[Person-ID]],Tab_Personen[],MATCH(Tab_Buchungen[[#Headers],[Ort]],Tab_Personen[#Headers],0),FALSE)</f>
        <v>Weimar</v>
      </c>
    </row>
    <row r="18" spans="1:22" x14ac:dyDescent="0.3">
      <c r="A18">
        <v>3</v>
      </c>
      <c r="B18" t="s">
        <v>20</v>
      </c>
      <c r="C18" s="10" t="str">
        <f>VLOOKUP(Tab_Buchungen[[#This Row],[Buchung]],Tab_Leistungen[],MATCH(Tab_Buchungen[[#Headers],[Verfügbarkeit]],Tab_Leistungen[#Headers], 0),FALSE)</f>
        <v>Frei</v>
      </c>
      <c r="D18" s="11">
        <v>45237</v>
      </c>
      <c r="E18" s="12" t="s">
        <v>26</v>
      </c>
      <c r="F18" s="13">
        <f>IF(ISBLANK(Tab_Buchungen[[#This Row],[Gutscheincode]]),0,VLOOKUP(Tab_Buchungen[[#This Row],[Gutscheincode]],Tab_Gutscheine[],MATCH(Tab_Buchungen[[#Headers],[Rabatt]],Tab_Gutscheine[#Headers],0),FALSE))</f>
        <v>0.2</v>
      </c>
      <c r="G18" t="str">
        <f>VLOOKUP(Tab_Buchungen[[#This Row],[Person-ID]],Tab_Personen[],MATCH(Tab_Buchungen[[#Headers],[Gruppe]],Tab_Personen[#Headers],0),FALSE)</f>
        <v>Normal</v>
      </c>
      <c r="H18" s="9">
        <f>VLOOKUP(Tab_Buchungen[[#This Row],[Buchung]],Tab_Leistungen[], MATCH(Tab_Buchungen[[#This Row],[Gruppe]],Tab_Leistungen[#Headers],0),FALSE)</f>
        <v>33.61</v>
      </c>
      <c r="I18" s="9">
        <f>(1-Tab_Buchungen[[#This Row],[Rabatt]])*Tab_Buchungen[[#This Row],[Nettopreis]]</f>
        <v>26.888000000000002</v>
      </c>
      <c r="J18" s="16">
        <f>VLOOKUP(Tab_Buchungen[[#This Row],[Buchung]],Tab_Leistungen[],MATCH(Tab_Buchungen[[#Headers],[Umsatzsteuersatz]],Tab_Leistungen[#Headers],0),FALSE)</f>
        <v>0.19</v>
      </c>
      <c r="K18" s="9">
        <f>Tab_Buchungen[[#This Row],[Rabattiert]]*(1+Tab_Buchungen[[#This Row],[Umsatzsteuersatz]])</f>
        <v>31.99672</v>
      </c>
      <c r="L18" s="9">
        <v>31</v>
      </c>
      <c r="N18" s="11"/>
      <c r="O18" s="9"/>
      <c r="P18" s="14">
        <f>ROUND(IF(Tab_Buchungen[[#This Row],[Storniert]] = "Ja", Tab_Buchungen[[#This Row],[Bruttopreis]]*$M$10-Tab_Buchungen[[#This Row],[Bezahlt]]+Tab_Buchungen[[#This Row],[Erstattet]], Tab_Buchungen[[#This Row],[Bruttopreis]]-Tab_Buchungen[[#This Row],[Bezahlt]]+Tab_Buchungen[[#This Row],[Erstattet]]),2)</f>
        <v>1</v>
      </c>
      <c r="Q18" s="15" t="str">
        <f>IF(Tab_Buchungen[[#This Row],[Person-ID]]=$A17,"⬆️",ROUND(SUMIFS(Tab_Buchungen[Restbetrag/Buchung], Tab_Buchungen[Person-ID],Tab_Buchungen[[#This Row],[Person-ID]]),2))</f>
        <v>⬆️</v>
      </c>
      <c r="R18" s="8" t="str">
        <f>IF(Tab_Buchungen[[#This Row],[Restbetrag/Person]]="⬆️","⬆️",IF(Tab_Buchungen[[#This Row],[Restbetrag/Person]]&lt;0, "Überzahlt", IF(Tab_Buchungen[[#This Row],[Restbetrag/Person]]&gt;0, "Offen", IF(Tab_Buchungen[[#This Row],[Restbetrag/Person]]=0,"Bezahlt"))))</f>
        <v>⬆️</v>
      </c>
      <c r="S18" t="str">
        <f>VLOOKUP(Tab_Buchungen[[#This Row],[Person-ID]],Tab_Personen[],MATCH(Tab_Buchungen[[#Headers],[Name]],Tab_Personen[#Headers],0),FALSE)</f>
        <v>Warstein</v>
      </c>
      <c r="T18" t="str">
        <f>VLOOKUP(Tab_Buchungen[[#This Row],[Person-ID]],Tab_Personen[],MATCH(Tab_Buchungen[[#Headers],[Vorname]],Tab_Personen[#Headers],0),FALSE)</f>
        <v>Malte</v>
      </c>
      <c r="U18" t="str">
        <f>VLOOKUP(Tab_Buchungen[[#This Row],[Person-ID]],Tab_Personen[],MATCH(Tab_Buchungen[[#Headers],[Organisation]],Tab_Personen[#Headers],0),FALSE)</f>
        <v>Besser schnell wieder vergessen GbR</v>
      </c>
      <c r="V18" t="str">
        <f>VLOOKUP(Tab_Buchungen[[#This Row],[Person-ID]],Tab_Personen[],MATCH(Tab_Buchungen[[#Headers],[Ort]],Tab_Personen[#Headers],0),FALSE)</f>
        <v>Weimar</v>
      </c>
    </row>
    <row r="19" spans="1:22" x14ac:dyDescent="0.3">
      <c r="A19">
        <v>3</v>
      </c>
      <c r="B19" t="s">
        <v>114</v>
      </c>
      <c r="C19" s="10" t="str">
        <f>VLOOKUP(Tab_Buchungen[[#This Row],[Buchung]],Tab_Leistungen[],MATCH(Tab_Buchungen[[#Headers],[Verfügbarkeit]],Tab_Leistungen[#Headers], 0),FALSE)</f>
        <v>Frei</v>
      </c>
      <c r="D19" s="11">
        <v>45238</v>
      </c>
      <c r="E19" s="12"/>
      <c r="F19" s="13">
        <f>IF(ISBLANK(Tab_Buchungen[[#This Row],[Gutscheincode]]),0,VLOOKUP(Tab_Buchungen[[#This Row],[Gutscheincode]],Tab_Gutscheine[],MATCH(Tab_Buchungen[[#Headers],[Rabatt]],Tab_Gutscheine[#Headers],0),FALSE))</f>
        <v>0</v>
      </c>
      <c r="G19" t="str">
        <f>VLOOKUP(Tab_Buchungen[[#This Row],[Person-ID]],Tab_Personen[],MATCH(Tab_Buchungen[[#Headers],[Gruppe]],Tab_Personen[#Headers],0),FALSE)</f>
        <v>Normal</v>
      </c>
      <c r="H19" s="9">
        <f>VLOOKUP(Tab_Buchungen[[#This Row],[Buchung]],Tab_Leistungen[], MATCH(Tab_Buchungen[[#This Row],[Gruppe]],Tab_Leistungen[#Headers],0),FALSE)</f>
        <v>50.42</v>
      </c>
      <c r="I19" s="9">
        <f>(1-Tab_Buchungen[[#This Row],[Rabatt]])*Tab_Buchungen[[#This Row],[Nettopreis]]</f>
        <v>50.42</v>
      </c>
      <c r="J19" s="16">
        <f>VLOOKUP(Tab_Buchungen[[#This Row],[Buchung]],Tab_Leistungen[],MATCH(Tab_Buchungen[[#Headers],[Umsatzsteuersatz]],Tab_Leistungen[#Headers],0),FALSE)</f>
        <v>0.19</v>
      </c>
      <c r="K19" s="9">
        <f>Tab_Buchungen[[#This Row],[Rabattiert]]*(1+Tab_Buchungen[[#This Row],[Umsatzsteuersatz]])</f>
        <v>59.9998</v>
      </c>
      <c r="L19" s="9">
        <v>59</v>
      </c>
      <c r="N19" s="11"/>
      <c r="O19" s="9"/>
      <c r="P19" s="14">
        <f>ROUND(IF(Tab_Buchungen[[#This Row],[Storniert]] = "Ja", Tab_Buchungen[[#This Row],[Bruttopreis]]*$M$10-Tab_Buchungen[[#This Row],[Bezahlt]]+Tab_Buchungen[[#This Row],[Erstattet]], Tab_Buchungen[[#This Row],[Bruttopreis]]-Tab_Buchungen[[#This Row],[Bezahlt]]+Tab_Buchungen[[#This Row],[Erstattet]]),2)</f>
        <v>1</v>
      </c>
      <c r="Q19" s="15" t="str">
        <f>IF(Tab_Buchungen[[#This Row],[Person-ID]]=$A18,"⬆️",ROUND(SUMIFS(Tab_Buchungen[Restbetrag/Buchung], Tab_Buchungen[Person-ID],Tab_Buchungen[[#This Row],[Person-ID]]),2))</f>
        <v>⬆️</v>
      </c>
      <c r="R19" s="8" t="str">
        <f>IF(Tab_Buchungen[[#This Row],[Restbetrag/Person]]="⬆️","⬆️",IF(Tab_Buchungen[[#This Row],[Restbetrag/Person]]&lt;0, "Überzahlt", IF(Tab_Buchungen[[#This Row],[Restbetrag/Person]]&gt;0, "Offen", IF(Tab_Buchungen[[#This Row],[Restbetrag/Person]]=0,"Bezahlt"))))</f>
        <v>⬆️</v>
      </c>
      <c r="S19" t="str">
        <f>VLOOKUP(Tab_Buchungen[[#This Row],[Person-ID]],Tab_Personen[],MATCH(Tab_Buchungen[[#Headers],[Name]],Tab_Personen[#Headers],0),FALSE)</f>
        <v>Warstein</v>
      </c>
      <c r="T19" t="str">
        <f>VLOOKUP(Tab_Buchungen[[#This Row],[Person-ID]],Tab_Personen[],MATCH(Tab_Buchungen[[#Headers],[Vorname]],Tab_Personen[#Headers],0),FALSE)</f>
        <v>Malte</v>
      </c>
      <c r="U19" t="str">
        <f>VLOOKUP(Tab_Buchungen[[#This Row],[Person-ID]],Tab_Personen[],MATCH(Tab_Buchungen[[#Headers],[Organisation]],Tab_Personen[#Headers],0),FALSE)</f>
        <v>Besser schnell wieder vergessen GbR</v>
      </c>
      <c r="V19" t="str">
        <f>VLOOKUP(Tab_Buchungen[[#This Row],[Person-ID]],Tab_Personen[],MATCH(Tab_Buchungen[[#Headers],[Ort]],Tab_Personen[#Headers],0),FALSE)</f>
        <v>Weimar</v>
      </c>
    </row>
    <row r="23" spans="1:22" x14ac:dyDescent="0.3">
      <c r="M23" s="7"/>
    </row>
    <row r="24" spans="1:22" x14ac:dyDescent="0.3">
      <c r="M24" s="7"/>
    </row>
    <row r="25" spans="1:22" x14ac:dyDescent="0.3">
      <c r="M25" s="7"/>
    </row>
    <row r="26" spans="1:22" x14ac:dyDescent="0.3">
      <c r="M26" s="7"/>
    </row>
  </sheetData>
  <mergeCells count="8">
    <mergeCell ref="A8:D8"/>
    <mergeCell ref="E8:H8"/>
    <mergeCell ref="A7:H7"/>
    <mergeCell ref="A1:B1"/>
    <mergeCell ref="A3:H3"/>
    <mergeCell ref="A4:H4"/>
    <mergeCell ref="A5:H5"/>
    <mergeCell ref="A6:H6"/>
  </mergeCells>
  <phoneticPr fontId="5" type="noConversion"/>
  <conditionalFormatting sqref="A13:V19">
    <cfRule type="expression" dxfId="26" priority="1">
      <formula>_xlfn.ISFORMULA(A13)</formula>
    </cfRule>
  </conditionalFormatting>
  <conditionalFormatting sqref="C13:C19">
    <cfRule type="containsText" dxfId="25" priority="18" operator="containsText" text="Ausgebucht">
      <formula>NOT(ISERROR(SEARCH("Ausgebucht",C13)))</formula>
    </cfRule>
    <cfRule type="containsText" dxfId="24" priority="19" operator="containsText" text="Überbucht">
      <formula>NOT(ISERROR(SEARCH("Überbucht",C13)))</formula>
    </cfRule>
  </conditionalFormatting>
  <conditionalFormatting sqref="M13:M19">
    <cfRule type="cellIs" dxfId="23" priority="2" operator="equal">
      <formula>"Ja"</formula>
    </cfRule>
  </conditionalFormatting>
  <conditionalFormatting sqref="P13:P19">
    <cfRule type="cellIs" dxfId="22" priority="15" operator="equal">
      <formula>0</formula>
    </cfRule>
    <cfRule type="cellIs" dxfId="21" priority="16" operator="greaterThan">
      <formula>0</formula>
    </cfRule>
    <cfRule type="cellIs" dxfId="20" priority="17" operator="lessThan">
      <formula>0</formula>
    </cfRule>
  </conditionalFormatting>
  <conditionalFormatting sqref="Q13:Q19">
    <cfRule type="containsText" dxfId="19" priority="8" operator="containsText" text="⬆️">
      <formula>NOT(ISERROR(SEARCH("⬆️",Q13)))</formula>
    </cfRule>
    <cfRule type="cellIs" dxfId="18" priority="9" operator="equal">
      <formula>0</formula>
    </cfRule>
    <cfRule type="cellIs" dxfId="17" priority="10" operator="greaterThan">
      <formula>0</formula>
    </cfRule>
    <cfRule type="cellIs" dxfId="16" priority="11" operator="lessThan">
      <formula>0</formula>
    </cfRule>
  </conditionalFormatting>
  <conditionalFormatting sqref="R13:R19">
    <cfRule type="cellIs" dxfId="15" priority="12" operator="equal">
      <formula>"Bezahlt"</formula>
    </cfRule>
    <cfRule type="cellIs" dxfId="14" priority="13" operator="equal">
      <formula>"Offen"</formula>
    </cfRule>
    <cfRule type="cellIs" dxfId="13" priority="14" operator="equal">
      <formula>"Überzahlt"</formula>
    </cfRule>
  </conditionalFormatting>
  <dataValidations count="2">
    <dataValidation type="date" operator="greaterThan" allowBlank="1" showInputMessage="1" showErrorMessage="1" errorTitle="Kein Datum!" error="Datum mit TT.MM.JJ eintragen!" promptTitle="Datum eintragen" prompt="Datum wie 1-1-23 eintragen._x000a_Kürzel heute: Strg + ." sqref="D13:D19 N13:N19" xr:uid="{36796920-4BEF-4B42-997E-566BF2C00DE8}">
      <formula1>1</formula1>
    </dataValidation>
    <dataValidation type="list" allowBlank="1" showInputMessage="1" showErrorMessage="1" errorTitle="Ungültiger Vermerk!" error="&quot;Ja&quot; eintragen oder Zelle leer lassen." promptTitle="&quot;Ja&quot; oder leer" prompt="Stornierung mit &quot;Ja&quot; vermerken." sqref="M13:M19" xr:uid="{6809A7FF-0645-4DDC-BFCF-10B7DB846B0B}">
      <formula1>"Ja"</formula1>
    </dataValidation>
  </dataValidations>
  <hyperlinks>
    <hyperlink ref="E8" r:id="rId1" display="Converia testen »" xr:uid="{61F60A53-6C9C-4C6C-AE1A-01D13B377352}"/>
    <hyperlink ref="E8:H8" location="Hilfe!A1" display="Blatt &quot;Hilfe&quot; öffnen" xr:uid="{F2D9763B-F802-423D-BCB8-74E80116A575}"/>
  </hyperlinks>
  <pageMargins left="0.7" right="0.7" top="0.78740157499999996" bottom="0.78740157499999996" header="0.3" footer="0.3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DE9447C-C91D-410B-B89F-206001FEADCD}">
          <x14:formula1>
            <xm:f>Leistungen!$A$13:$A$100000</xm:f>
          </x14:formula1>
          <xm:sqref>B13:B19</xm:sqref>
        </x14:dataValidation>
        <x14:dataValidation type="list" allowBlank="1" showInputMessage="1" showErrorMessage="1" errorTitle="Unbekannter Code!" error="Aus angelegten Codes wählen oder neuen Code anlegen." promptTitle="Code wählen" prompt="Angelegte Codes sind erlaubt." xr:uid="{0751A356-89D4-4E0A-B5E5-5D0B823B46C4}">
          <x14:formula1>
            <xm:f>Gutscheine!$A$11:$A$100000</xm:f>
          </x14:formula1>
          <xm:sqref>E13:E19</xm:sqref>
        </x14:dataValidation>
        <x14:dataValidation type="list" allowBlank="1" showInputMessage="1" showErrorMessage="1" errorTitle="Unbekannte Person!" error="Aus bekannten Personen wählen oder neue Person anlegen." promptTitle="ID einer Person wählen" prompt="IDs angelegter Personen sind erlaubt." xr:uid="{B6659681-30E6-4346-9045-D7BC9D9D884D}">
          <x14:formula1>
            <xm:f>'Personen + Check-in'!$A$11:$A$9999</xm:f>
          </x14:formula1>
          <xm:sqref>A13:A19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C2BFA-20CE-42D4-BD3C-B7DCB91A1626}">
  <sheetPr>
    <tabColor rgb="FF8CC800"/>
  </sheetPr>
  <dimension ref="A1:H13"/>
  <sheetViews>
    <sheetView workbookViewId="0">
      <selection activeCell="E8" sqref="E8:H8"/>
    </sheetView>
  </sheetViews>
  <sheetFormatPr baseColWidth="10" defaultRowHeight="14.4" x14ac:dyDescent="0.3"/>
  <cols>
    <col min="1" max="1" width="10.6640625" bestFit="1" customWidth="1"/>
    <col min="2" max="2" width="8.77734375" bestFit="1" customWidth="1"/>
    <col min="3" max="3" width="23.77734375" bestFit="1" customWidth="1"/>
    <col min="4" max="4" width="13.44140625" bestFit="1" customWidth="1"/>
    <col min="5" max="5" width="20.6640625" bestFit="1" customWidth="1"/>
  </cols>
  <sheetData>
    <row r="1" spans="1:8" ht="20.399999999999999" thickBot="1" x14ac:dyDescent="0.45">
      <c r="A1" s="26" t="s">
        <v>23</v>
      </c>
      <c r="B1" s="26"/>
    </row>
    <row r="2" spans="1:8" ht="15" thickTop="1" x14ac:dyDescent="0.3"/>
    <row r="3" spans="1:8" x14ac:dyDescent="0.3">
      <c r="A3" s="25" t="str">
        <f>'Personen + Check-in'!$A$3</f>
        <v>Vorlage im Mai 2024 bereitgestellt von Converia – Konferenz-Management-Software.</v>
      </c>
      <c r="B3" s="25"/>
      <c r="C3" s="25"/>
      <c r="D3" s="25"/>
      <c r="E3" s="25"/>
      <c r="F3" s="25"/>
      <c r="G3" s="25"/>
      <c r="H3" s="25"/>
    </row>
    <row r="4" spans="1:8" x14ac:dyDescent="0.3">
      <c r="A4" s="23" t="str">
        <f>'Personen + Check-in'!$A$4</f>
        <v>Diese Vorlage ist nur ein Beispiel. Holen Sie sich professionellen Rat ein und passen Sie die Vorlage an Ihre Anforderungen an.</v>
      </c>
      <c r="B4" s="23"/>
      <c r="C4" s="23"/>
      <c r="D4" s="23"/>
      <c r="E4" s="23"/>
      <c r="F4" s="23"/>
      <c r="G4" s="23"/>
      <c r="H4" s="23"/>
    </row>
    <row r="5" spans="1:8" x14ac:dyDescent="0.3">
      <c r="A5" s="23" t="str">
        <f>'Personen + Check-in'!$A$5</f>
        <v>Converia übernimmt keine Haftung für Schäden jeglicher Art, die aus der Verwendung oder Nichtverwendung der Vorlage entstehen.</v>
      </c>
      <c r="B5" s="23"/>
      <c r="C5" s="23"/>
      <c r="D5" s="23"/>
      <c r="E5" s="23"/>
      <c r="F5" s="23"/>
      <c r="G5" s="23"/>
      <c r="H5" s="23"/>
    </row>
    <row r="6" spans="1:8" x14ac:dyDescent="0.3">
      <c r="A6" s="23" t="str">
        <f>'Personen + Check-in'!$A$6</f>
        <v>Dies gilt insbesondere für Schäden durch Fehler, Unvollständigkeit oder Unrichtigkeit der Vorlage, enthaltener Daten und Formeln.</v>
      </c>
      <c r="B6" s="23"/>
      <c r="C6" s="23"/>
      <c r="D6" s="23"/>
      <c r="E6" s="23"/>
      <c r="F6" s="23"/>
      <c r="G6" s="23"/>
      <c r="H6" s="23"/>
    </row>
    <row r="7" spans="1:8" x14ac:dyDescent="0.3">
      <c r="A7" s="23" t="str">
        <f>'Personen + Check-in'!$A$7</f>
        <v>Diese Vorlage ist urheberrechtlich geschützt. Converia behält sich das Recht vor, die Vorlage jederzeit zu ändern oder zu entfernen.</v>
      </c>
      <c r="B7" s="23"/>
      <c r="C7" s="23"/>
      <c r="D7" s="23"/>
      <c r="E7" s="23"/>
      <c r="F7" s="23"/>
      <c r="G7" s="23"/>
      <c r="H7" s="23"/>
    </row>
    <row r="8" spans="1:8" ht="18" x14ac:dyDescent="0.35">
      <c r="A8" s="19" t="str">
        <f>Hilfe!$A$6</f>
        <v>Mit Praxistipps sind Sie schneller:</v>
      </c>
      <c r="B8" s="19"/>
      <c r="C8" s="19"/>
      <c r="D8" s="19"/>
      <c r="E8" s="20" t="s">
        <v>125</v>
      </c>
      <c r="F8" s="20"/>
      <c r="G8" s="20"/>
      <c r="H8" s="20"/>
    </row>
    <row r="10" spans="1:8" x14ac:dyDescent="0.3">
      <c r="A10" t="s">
        <v>24</v>
      </c>
      <c r="B10" t="s">
        <v>28</v>
      </c>
      <c r="C10" t="s">
        <v>46</v>
      </c>
      <c r="D10" t="s">
        <v>121</v>
      </c>
    </row>
    <row r="11" spans="1:8" x14ac:dyDescent="0.3">
      <c r="A11" t="s">
        <v>25</v>
      </c>
      <c r="B11" s="16">
        <v>0.1</v>
      </c>
      <c r="C11" t="s">
        <v>53</v>
      </c>
      <c r="D11">
        <f>COUNTIF(Tab_Buchungen[Gutscheincode],Tab_Gutscheine[[#This Row],[Code]])</f>
        <v>1</v>
      </c>
    </row>
    <row r="12" spans="1:8" x14ac:dyDescent="0.3">
      <c r="A12" t="s">
        <v>26</v>
      </c>
      <c r="B12" s="16">
        <v>0.2</v>
      </c>
      <c r="C12" t="s">
        <v>54</v>
      </c>
      <c r="D12">
        <f>COUNTIF(Tab_Buchungen[Gutscheincode],Tab_Gutscheine[[#This Row],[Code]])</f>
        <v>3</v>
      </c>
    </row>
    <row r="13" spans="1:8" x14ac:dyDescent="0.3">
      <c r="A13" t="s">
        <v>45</v>
      </c>
      <c r="B13" s="16">
        <v>0.3</v>
      </c>
      <c r="C13" t="s">
        <v>55</v>
      </c>
      <c r="D13">
        <f>COUNTIF(Tab_Buchungen[Gutscheincode],Tab_Gutscheine[[#This Row],[Code]])</f>
        <v>1</v>
      </c>
    </row>
  </sheetData>
  <mergeCells count="8">
    <mergeCell ref="A8:D8"/>
    <mergeCell ref="E8:H8"/>
    <mergeCell ref="A7:H7"/>
    <mergeCell ref="A1:B1"/>
    <mergeCell ref="A3:H3"/>
    <mergeCell ref="A4:H4"/>
    <mergeCell ref="A5:H5"/>
    <mergeCell ref="A6:H6"/>
  </mergeCells>
  <conditionalFormatting sqref="A11:D13">
    <cfRule type="expression" dxfId="12" priority="1">
      <formula>_xlfn.ISFORMULA(A11)</formula>
    </cfRule>
  </conditionalFormatting>
  <dataValidations count="1">
    <dataValidation type="custom" allowBlank="1" showInputMessage="1" showErrorMessage="1" errorTitle="Diesen Code gibt es schon!" error="Bestehenden Code nutzen oder einen neuen Code anlegen." promptTitle="Code eintragen" prompt="Jeder Code ist nur einmal erlaubt." sqref="A11:A13" xr:uid="{D6ADD9E1-1054-4DED-8D2D-EFD639769192}">
      <formula1>COUNTIF($A$11:$A$100000,A11)&lt;2</formula1>
    </dataValidation>
  </dataValidations>
  <hyperlinks>
    <hyperlink ref="E8" r:id="rId1" display="Converia testen »" xr:uid="{DD56BD7E-9B13-4589-93D5-B531B9A80E62}"/>
    <hyperlink ref="E8:H8" location="Hilfe!A1" display="Blatt &quot;Hilfe&quot; öffnen" xr:uid="{C2ADEE6D-FE20-4CB0-920A-D14467846C5A}"/>
  </hyperlinks>
  <pageMargins left="0.7" right="0.7" top="0.78740157499999996" bottom="0.78740157499999996" header="0.3" footer="0.3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8F8E-1AED-4073-BBF1-F98A88CA3DEB}">
  <sheetPr>
    <tabColor rgb="FFF78B29"/>
  </sheetPr>
  <dimension ref="A1:H16"/>
  <sheetViews>
    <sheetView workbookViewId="0">
      <selection activeCell="E8" sqref="E8:H8"/>
    </sheetView>
  </sheetViews>
  <sheetFormatPr baseColWidth="10" defaultRowHeight="14.4" x14ac:dyDescent="0.3"/>
  <cols>
    <col min="1" max="1" width="18" customWidth="1"/>
    <col min="2" max="2" width="18.5546875" bestFit="1" customWidth="1"/>
    <col min="3" max="4" width="7.88671875" bestFit="1" customWidth="1"/>
    <col min="5" max="5" width="15.109375" bestFit="1" customWidth="1"/>
    <col min="6" max="6" width="15.44140625" bestFit="1" customWidth="1"/>
    <col min="7" max="7" width="10" bestFit="1" customWidth="1"/>
    <col min="8" max="8" width="10.5546875" customWidth="1"/>
  </cols>
  <sheetData>
    <row r="1" spans="1:8" ht="20.399999999999999" thickBot="1" x14ac:dyDescent="0.45">
      <c r="A1" s="27" t="s">
        <v>16</v>
      </c>
      <c r="B1" s="27"/>
    </row>
    <row r="2" spans="1:8" ht="15" thickTop="1" x14ac:dyDescent="0.3"/>
    <row r="3" spans="1:8" x14ac:dyDescent="0.3">
      <c r="A3" s="25" t="str">
        <f>'Personen + Check-in'!$A$3</f>
        <v>Vorlage im Mai 2024 bereitgestellt von Converia – Konferenz-Management-Software.</v>
      </c>
      <c r="B3" s="25"/>
      <c r="C3" s="25"/>
      <c r="D3" s="25"/>
      <c r="E3" s="25"/>
      <c r="F3" s="25"/>
      <c r="G3" s="25"/>
      <c r="H3" s="25"/>
    </row>
    <row r="4" spans="1:8" x14ac:dyDescent="0.3">
      <c r="A4" s="23" t="str">
        <f>'Personen + Check-in'!$A$4</f>
        <v>Diese Vorlage ist nur ein Beispiel. Holen Sie sich professionellen Rat ein und passen Sie die Vorlage an Ihre Anforderungen an.</v>
      </c>
      <c r="B4" s="23"/>
      <c r="C4" s="23"/>
      <c r="D4" s="23"/>
      <c r="E4" s="23"/>
      <c r="F4" s="23"/>
      <c r="G4" s="23"/>
      <c r="H4" s="23"/>
    </row>
    <row r="5" spans="1:8" x14ac:dyDescent="0.3">
      <c r="A5" s="23" t="str">
        <f>'Personen + Check-in'!$A$5</f>
        <v>Converia übernimmt keine Haftung für Schäden jeglicher Art, die aus der Verwendung oder Nichtverwendung der Vorlage entstehen.</v>
      </c>
      <c r="B5" s="23"/>
      <c r="C5" s="23"/>
      <c r="D5" s="23"/>
      <c r="E5" s="23"/>
      <c r="F5" s="23"/>
      <c r="G5" s="23"/>
      <c r="H5" s="23"/>
    </row>
    <row r="6" spans="1:8" x14ac:dyDescent="0.3">
      <c r="A6" s="23" t="str">
        <f>'Personen + Check-in'!$A$6</f>
        <v>Dies gilt insbesondere für Schäden durch Fehler, Unvollständigkeit oder Unrichtigkeit der Vorlage, enthaltener Daten und Formeln.</v>
      </c>
      <c r="B6" s="23"/>
      <c r="C6" s="23"/>
      <c r="D6" s="23"/>
      <c r="E6" s="23"/>
      <c r="F6" s="23"/>
      <c r="G6" s="23"/>
      <c r="H6" s="23"/>
    </row>
    <row r="7" spans="1:8" x14ac:dyDescent="0.3">
      <c r="A7" s="23" t="str">
        <f>'Personen + Check-in'!$A$7</f>
        <v>Diese Vorlage ist urheberrechtlich geschützt. Converia behält sich das Recht vor, die Vorlage jederzeit zu ändern oder zu entfernen.</v>
      </c>
      <c r="B7" s="23"/>
      <c r="C7" s="23"/>
      <c r="D7" s="23"/>
      <c r="E7" s="23"/>
      <c r="F7" s="23"/>
      <c r="G7" s="23"/>
      <c r="H7" s="23"/>
    </row>
    <row r="8" spans="1:8" ht="18" x14ac:dyDescent="0.35">
      <c r="A8" s="19" t="str">
        <f>Hilfe!$A$6</f>
        <v>Mit Praxistipps sind Sie schneller:</v>
      </c>
      <c r="B8" s="19"/>
      <c r="C8" s="19"/>
      <c r="D8" s="19"/>
      <c r="E8" s="20" t="s">
        <v>125</v>
      </c>
      <c r="F8" s="20"/>
      <c r="G8" s="20"/>
      <c r="H8" s="20"/>
    </row>
    <row r="10" spans="1:8" x14ac:dyDescent="0.3">
      <c r="A10" s="2" t="s">
        <v>96</v>
      </c>
      <c r="B10" s="1">
        <v>7.0000000000000007E-2</v>
      </c>
      <c r="C10" s="1">
        <v>0.19</v>
      </c>
      <c r="F10" s="2" t="s">
        <v>97</v>
      </c>
      <c r="G10" s="1">
        <v>0.3</v>
      </c>
      <c r="H10" s="1">
        <v>0.5</v>
      </c>
    </row>
    <row r="12" spans="1:8" x14ac:dyDescent="0.3">
      <c r="A12" t="s">
        <v>15</v>
      </c>
      <c r="B12" t="s">
        <v>58</v>
      </c>
      <c r="C12" t="s">
        <v>88</v>
      </c>
      <c r="D12" t="s">
        <v>89</v>
      </c>
      <c r="E12" t="s">
        <v>90</v>
      </c>
      <c r="F12" t="s">
        <v>21</v>
      </c>
      <c r="G12" t="s">
        <v>9</v>
      </c>
      <c r="H12" t="s">
        <v>13</v>
      </c>
    </row>
    <row r="13" spans="1:8" x14ac:dyDescent="0.3">
      <c r="A13" t="s">
        <v>19</v>
      </c>
      <c r="B13" s="16">
        <v>0.19</v>
      </c>
      <c r="C13" s="10">
        <v>500</v>
      </c>
      <c r="D13" s="10">
        <f>Tab_Leistungen[[#This Row],[Stück]] - COUNTIFS(Tab_Buchungen[Buchung],Tab_Leistungen[[#This Row],[Leistung]],Tab_Buchungen[Storniert], "")</f>
        <v>497</v>
      </c>
      <c r="E13" s="10" t="str">
        <f>IF(Tab_Leistungen[[#This Row],[Übrig]]&lt;0, "Überbucht", IF(Tab_Leistungen[[#This Row],[Übrig]]=0, "Ausgebucht", IF(Tab_Leistungen[[#This Row],[Übrig]]&gt;0, "Frei")))</f>
        <v>Frei</v>
      </c>
      <c r="F13" s="14">
        <v>25.21</v>
      </c>
      <c r="G13" s="14">
        <f>Tab_Leistungen[[#This Row],[Normal]]*(1-G$10)</f>
        <v>17.646999999999998</v>
      </c>
      <c r="H13" s="14">
        <f>Tab_Leistungen[[#This Row],[Normal]]*(1-H$10)</f>
        <v>12.605</v>
      </c>
    </row>
    <row r="14" spans="1:8" x14ac:dyDescent="0.3">
      <c r="A14" t="s">
        <v>20</v>
      </c>
      <c r="B14" s="16">
        <v>0.19</v>
      </c>
      <c r="C14" s="10">
        <v>500</v>
      </c>
      <c r="D14" s="10">
        <f>Tab_Leistungen[[#This Row],[Stück]] - COUNTIFS(Tab_Buchungen[Buchung],Tab_Leistungen[[#This Row],[Leistung]],Tab_Buchungen[Storniert], "")</f>
        <v>498</v>
      </c>
      <c r="E14" s="10" t="str">
        <f>IF(Tab_Leistungen[[#This Row],[Übrig]]&lt;0, "Überbucht", IF(Tab_Leistungen[[#This Row],[Übrig]]=0, "Ausgebucht", IF(Tab_Leistungen[[#This Row],[Übrig]]&gt;0, "Frei")))</f>
        <v>Frei</v>
      </c>
      <c r="F14" s="14">
        <v>33.61</v>
      </c>
      <c r="G14" s="14">
        <f>Tab_Leistungen[[#This Row],[Normal]]*(1-G$10)</f>
        <v>23.526999999999997</v>
      </c>
      <c r="H14" s="14">
        <f>Tab_Leistungen[[#This Row],[Normal]]*(1-H$10)</f>
        <v>16.805</v>
      </c>
    </row>
    <row r="15" spans="1:8" x14ac:dyDescent="0.3">
      <c r="A15" t="s">
        <v>112</v>
      </c>
      <c r="B15" s="16">
        <v>7.0000000000000007E-2</v>
      </c>
      <c r="C15" s="10">
        <v>1</v>
      </c>
      <c r="D15" s="10">
        <f>Tab_Leistungen[[#This Row],[Stück]] - COUNTIFS(Tab_Buchungen[Buchung],Tab_Leistungen[[#This Row],[Leistung]],Tab_Buchungen[Storniert], "")</f>
        <v>1</v>
      </c>
      <c r="E15" s="10" t="str">
        <f>IF(Tab_Leistungen[[#This Row],[Übrig]]&lt;0, "Überbucht", IF(Tab_Leistungen[[#This Row],[Übrig]]=0, "Ausgebucht", IF(Tab_Leistungen[[#This Row],[Übrig]]&gt;0, "Frei")))</f>
        <v>Frei</v>
      </c>
      <c r="F15" s="14">
        <v>19.63</v>
      </c>
      <c r="G15" s="14">
        <f>Tab_Leistungen[[#This Row],[Normal]]*(1-G$10)</f>
        <v>13.740999999999998</v>
      </c>
      <c r="H15" s="14">
        <f>Tab_Leistungen[[#This Row],[Normal]]*(1-H$10)</f>
        <v>9.8149999999999995</v>
      </c>
    </row>
    <row r="16" spans="1:8" x14ac:dyDescent="0.3">
      <c r="A16" t="s">
        <v>114</v>
      </c>
      <c r="B16" s="16">
        <v>0.19</v>
      </c>
      <c r="C16" s="10">
        <v>100</v>
      </c>
      <c r="D16" s="10">
        <f>Tab_Leistungen[[#This Row],[Stück]] - COUNTIFS(Tab_Buchungen[Buchung],Tab_Leistungen[[#This Row],[Leistung]],Tab_Buchungen[Storniert], "")</f>
        <v>99</v>
      </c>
      <c r="E16" s="10" t="str">
        <f>IF(Tab_Leistungen[[#This Row],[Übrig]]&lt;0, "Überbucht", IF(Tab_Leistungen[[#This Row],[Übrig]]=0, "Ausgebucht", IF(Tab_Leistungen[[#This Row],[Übrig]]&gt;0, "Frei")))</f>
        <v>Frei</v>
      </c>
      <c r="F16" s="14">
        <v>50.42</v>
      </c>
      <c r="G16" s="14">
        <f>Tab_Leistungen[[#This Row],[Normal]]*(1-G$10)</f>
        <v>35.293999999999997</v>
      </c>
      <c r="H16" s="14">
        <f>Tab_Leistungen[[#This Row],[Normal]]*(1-H$10)</f>
        <v>25.21</v>
      </c>
    </row>
  </sheetData>
  <mergeCells count="8">
    <mergeCell ref="A8:D8"/>
    <mergeCell ref="E8:H8"/>
    <mergeCell ref="A7:H7"/>
    <mergeCell ref="A1:B1"/>
    <mergeCell ref="A3:H3"/>
    <mergeCell ref="A4:H4"/>
    <mergeCell ref="A5:H5"/>
    <mergeCell ref="A6:H6"/>
  </mergeCells>
  <conditionalFormatting sqref="A13:H16">
    <cfRule type="expression" dxfId="11" priority="1">
      <formula>_xlfn.ISFORMULA(A13)</formula>
    </cfRule>
  </conditionalFormatting>
  <conditionalFormatting sqref="E13:E16">
    <cfRule type="containsText" dxfId="10" priority="2" operator="containsText" text="Ausgebucht">
      <formula>NOT(ISERROR(SEARCH("Ausgebucht",E13)))</formula>
    </cfRule>
    <cfRule type="containsText" dxfId="9" priority="3" operator="containsText" text="Überbucht">
      <formula>NOT(ISERROR(SEARCH("Überbucht",E13)))</formula>
    </cfRule>
  </conditionalFormatting>
  <dataValidations count="2">
    <dataValidation type="list" allowBlank="1" showInputMessage="1" showErrorMessage="1" errorTitle="Ungültiger Umsatzsteuersatz!" error="Gültigen Steuersatz wählen oder andere Steuersätze hinterlegen!" promptTitle="Umsatzsteuersatz wählen" prompt="Nur Steuersätze aus Zellen über Tabelle sind erlaubt." sqref="B13:B16" xr:uid="{DE09E84D-B5CD-4C46-87DC-CE5B9BCE9DAC}">
      <formula1>$B$10:$C$10</formula1>
    </dataValidation>
    <dataValidation type="custom" allowBlank="1" showInputMessage="1" showErrorMessage="1" errorTitle="Diese Leistung gibt es schon!" error="Bestehende Leistungen nutzen oder eine neue Leistung anlegen." promptTitle="Leistung eintragen" prompt="Jede Leistung ist nur einmal erlaubt." sqref="A13:A16" xr:uid="{F6E4B922-9C71-40D1-AE8D-066910343C06}">
      <formula1>COUNTIF($A$13:$A$100000,A13)&lt;2</formula1>
    </dataValidation>
  </dataValidations>
  <hyperlinks>
    <hyperlink ref="E8" r:id="rId1" display="Converia testen »" xr:uid="{5F22993C-A9A4-437E-9AA9-E064FC643C80}"/>
    <hyperlink ref="E8:H8" location="Hilfe!A1" display="Blatt &quot;Hilfe&quot; öffnen" xr:uid="{52408914-10F8-4BA9-A540-75D1B44E94D9}"/>
  </hyperlinks>
  <pageMargins left="0.7" right="0.7" top="0.78740157499999996" bottom="0.78740157499999996" header="0.3" footer="0.3"/>
  <pageSetup paperSize="9" orientation="portrait"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673E-B6EA-44C4-A717-07541AAC5D87}">
  <sheetPr>
    <tabColor rgb="FF780387"/>
  </sheetPr>
  <dimension ref="A1:S17"/>
  <sheetViews>
    <sheetView workbookViewId="0">
      <selection activeCell="E8" sqref="E8:H8"/>
    </sheetView>
  </sheetViews>
  <sheetFormatPr baseColWidth="10" defaultRowHeight="14.4" x14ac:dyDescent="0.3"/>
  <cols>
    <col min="1" max="1" width="5" bestFit="1" customWidth="1"/>
    <col min="2" max="2" width="49" bestFit="1" customWidth="1"/>
    <col min="3" max="3" width="11.5546875" bestFit="1" customWidth="1"/>
    <col min="4" max="4" width="11.88671875" bestFit="1" customWidth="1"/>
    <col min="5" max="5" width="14.44140625" bestFit="1" customWidth="1"/>
    <col min="6" max="6" width="19.33203125" bestFit="1" customWidth="1"/>
    <col min="7" max="7" width="14.44140625" customWidth="1"/>
    <col min="8" max="8" width="11.21875" bestFit="1" customWidth="1"/>
    <col min="9" max="9" width="11.21875" customWidth="1"/>
    <col min="10" max="10" width="14.44140625" bestFit="1" customWidth="1"/>
    <col min="11" max="11" width="17.88671875" bestFit="1" customWidth="1"/>
    <col min="12" max="12" width="20.6640625" bestFit="1" customWidth="1"/>
    <col min="13" max="13" width="35.6640625" bestFit="1" customWidth="1"/>
    <col min="14" max="14" width="15.44140625" bestFit="1" customWidth="1"/>
    <col min="15" max="15" width="14.33203125" bestFit="1" customWidth="1"/>
    <col min="16" max="16" width="17.6640625" bestFit="1" customWidth="1"/>
    <col min="17" max="17" width="20.5546875" bestFit="1" customWidth="1"/>
    <col min="18" max="18" width="35.6640625" bestFit="1" customWidth="1"/>
    <col min="19" max="19" width="15.21875" bestFit="1" customWidth="1"/>
  </cols>
  <sheetData>
    <row r="1" spans="1:19" ht="20.399999999999999" thickBot="1" x14ac:dyDescent="0.45">
      <c r="A1" s="28" t="s">
        <v>36</v>
      </c>
      <c r="B1" s="28"/>
    </row>
    <row r="2" spans="1:19" ht="15" thickTop="1" x14ac:dyDescent="0.3"/>
    <row r="3" spans="1:19" x14ac:dyDescent="0.3">
      <c r="A3" s="33" t="str">
        <f>'Personen + Check-in'!$A$3</f>
        <v>Vorlage im Mai 2024 bereitgestellt von Converia – Konferenz-Management-Software.</v>
      </c>
      <c r="B3" s="34"/>
      <c r="C3" s="34"/>
      <c r="D3" s="34"/>
      <c r="E3" s="34"/>
      <c r="F3" s="34"/>
      <c r="G3" s="34"/>
      <c r="H3" s="34"/>
    </row>
    <row r="4" spans="1:19" x14ac:dyDescent="0.3">
      <c r="A4" s="35" t="str">
        <f>'Personen + Check-in'!$A$4</f>
        <v>Diese Vorlage ist nur ein Beispiel. Holen Sie sich professionellen Rat ein und passen Sie die Vorlage an Ihre Anforderungen an.</v>
      </c>
      <c r="B4" s="36"/>
      <c r="C4" s="36"/>
      <c r="D4" s="36"/>
      <c r="E4" s="36"/>
      <c r="F4" s="36"/>
      <c r="G4" s="36"/>
      <c r="H4" s="36"/>
    </row>
    <row r="5" spans="1:19" x14ac:dyDescent="0.3">
      <c r="A5" s="35" t="str">
        <f>'Personen + Check-in'!$A$5</f>
        <v>Converia übernimmt keine Haftung für Schäden jeglicher Art, die aus der Verwendung oder Nichtverwendung der Vorlage entstehen.</v>
      </c>
      <c r="B5" s="36"/>
      <c r="C5" s="36"/>
      <c r="D5" s="36"/>
      <c r="E5" s="36"/>
      <c r="F5" s="36"/>
      <c r="G5" s="36"/>
      <c r="H5" s="36"/>
    </row>
    <row r="6" spans="1:19" x14ac:dyDescent="0.3">
      <c r="A6" s="35" t="str">
        <f>'Personen + Check-in'!$A$6</f>
        <v>Dies gilt insbesondere für Schäden durch Fehler, Unvollständigkeit oder Unrichtigkeit der Vorlage, enthaltener Daten und Formeln.</v>
      </c>
      <c r="B6" s="36"/>
      <c r="C6" s="36"/>
      <c r="D6" s="36"/>
      <c r="E6" s="36"/>
      <c r="F6" s="36"/>
      <c r="G6" s="36"/>
      <c r="H6" s="36"/>
    </row>
    <row r="7" spans="1:19" x14ac:dyDescent="0.3">
      <c r="A7" s="35" t="str">
        <f>'Personen + Check-in'!$A$7</f>
        <v>Diese Vorlage ist urheberrechtlich geschützt. Converia behält sich das Recht vor, die Vorlage jederzeit zu ändern oder zu entfernen.</v>
      </c>
      <c r="B7" s="36"/>
      <c r="C7" s="36"/>
      <c r="D7" s="36"/>
      <c r="E7" s="36"/>
      <c r="F7" s="36"/>
      <c r="G7" s="36"/>
      <c r="H7" s="36"/>
    </row>
    <row r="8" spans="1:19" ht="18" x14ac:dyDescent="0.35">
      <c r="A8" s="19" t="str">
        <f>Hilfe!$A$6</f>
        <v>Mit Praxistipps sind Sie schneller:</v>
      </c>
      <c r="B8" s="19"/>
      <c r="C8" s="19"/>
      <c r="D8" s="19"/>
      <c r="E8" s="20" t="s">
        <v>125</v>
      </c>
      <c r="F8" s="20"/>
      <c r="G8" s="20"/>
      <c r="H8" s="20"/>
    </row>
    <row r="10" spans="1:19" x14ac:dyDescent="0.3">
      <c r="F10" s="2" t="s">
        <v>100</v>
      </c>
      <c r="G10" s="3">
        <f ca="1">TODAY()</f>
        <v>45428</v>
      </c>
      <c r="H10" s="2" t="s">
        <v>103</v>
      </c>
    </row>
    <row r="11" spans="1:19" x14ac:dyDescent="0.3">
      <c r="F11" s="2" t="s">
        <v>101</v>
      </c>
      <c r="G11" s="3">
        <f ca="1">G10+5</f>
        <v>45433</v>
      </c>
      <c r="H11" s="5">
        <v>14</v>
      </c>
    </row>
    <row r="12" spans="1:19" x14ac:dyDescent="0.3">
      <c r="F12" s="2" t="s">
        <v>102</v>
      </c>
      <c r="G12" s="3">
        <f ca="1">G10+13</f>
        <v>45441</v>
      </c>
      <c r="H12" s="6">
        <v>7</v>
      </c>
    </row>
    <row r="14" spans="1:19" x14ac:dyDescent="0.3">
      <c r="A14" t="s">
        <v>14</v>
      </c>
      <c r="B14" t="s">
        <v>63</v>
      </c>
      <c r="C14" t="s">
        <v>99</v>
      </c>
      <c r="D14" t="s">
        <v>98</v>
      </c>
      <c r="E14" t="s">
        <v>4</v>
      </c>
      <c r="F14" t="s">
        <v>66</v>
      </c>
      <c r="G14" t="s">
        <v>78</v>
      </c>
      <c r="H14" t="s">
        <v>79</v>
      </c>
      <c r="I14" t="s">
        <v>109</v>
      </c>
      <c r="J14" t="s">
        <v>67</v>
      </c>
      <c r="K14" t="s">
        <v>68</v>
      </c>
      <c r="L14" t="s">
        <v>69</v>
      </c>
      <c r="M14" t="s">
        <v>70</v>
      </c>
      <c r="N14" t="s">
        <v>71</v>
      </c>
      <c r="O14" t="s">
        <v>65</v>
      </c>
      <c r="P14" t="s">
        <v>75</v>
      </c>
      <c r="Q14" t="s">
        <v>73</v>
      </c>
      <c r="R14" t="s">
        <v>72</v>
      </c>
      <c r="S14" t="s">
        <v>74</v>
      </c>
    </row>
    <row r="15" spans="1:19" x14ac:dyDescent="0.3">
      <c r="A15">
        <v>1</v>
      </c>
      <c r="B15" t="s">
        <v>85</v>
      </c>
      <c r="C15">
        <v>1</v>
      </c>
      <c r="D15">
        <v>1</v>
      </c>
      <c r="E15" t="str">
        <f>VLOOKUP(Tab_Beiträge[[#This Row],[Sitzung-ID]],Tab_Sitzungen[],MATCH(Tab_Beiträge[[#Headers],[Ort]],Tab_Sitzungen[#Headers],0),FALSE)</f>
        <v>Seminarraum 5</v>
      </c>
      <c r="F15" t="str">
        <f>VLOOKUP(Tab_Beiträge[[#This Row],[Sitzung-ID]],Tab_Sitzungen[],MATCH(Tab_Beiträge[[#Headers],[Präsentationsform]],Tab_Sitzungen[#Headers],0),FALSE)</f>
        <v>Workshop</v>
      </c>
      <c r="G15" t="s">
        <v>10</v>
      </c>
      <c r="H15" t="s">
        <v>10</v>
      </c>
      <c r="I15" s="17" t="s">
        <v>110</v>
      </c>
      <c r="J15">
        <v>1</v>
      </c>
      <c r="K15" t="str">
        <f>VLOOKUP(Tab_Beiträge[[#This Row],[Einreicher-ID]],Tab_Personen[],MATCH(MID(Tab_Beiträge[[#Headers],[Einreicher-Name]],12,4),Tab_Personen[#Headers],0),FALSE)</f>
        <v>Müller</v>
      </c>
      <c r="L15" t="str">
        <f>VLOOKUP(Tab_Beiträge[[#This Row],[Einreicher-ID]],Tab_Personen[],MATCH(MID(Tab_Beiträge[[#Headers],[Einreicher-Vorname]],12,7),Tab_Personen[#Headers],0),FALSE)</f>
        <v>Max</v>
      </c>
      <c r="M15" t="str">
        <f>VLOOKUP(Tab_Beiträge[[#This Row],[Einreicher-ID]],Tab_Personen[],MATCH(MID(Tab_Beiträge[[#Headers],[Einreicher-Organisation]],12,12),Tab_Personen[#Headers],0),FALSE)</f>
        <v>Haftet-immer UG (haftungsbeschränkt)</v>
      </c>
      <c r="N15" t="str">
        <f>VLOOKUP(Tab_Beiträge[[#This Row],[Einreicher-ID]],Tab_Personen[],MATCH(MID(Tab_Beiträge[[#Headers],[Einreicher-Ort]],12,3),Tab_Personen[#Headers],0),FALSE)</f>
        <v>Weimar</v>
      </c>
      <c r="O15">
        <v>2</v>
      </c>
      <c r="P15" t="str">
        <f>VLOOKUP(Tab_Beiträge[[#This Row],[Gutachter-ID]],Tab_Personen[],MATCH(MID(Tab_Beiträge[[#Headers],[Gutachter-Name]],11,4),Tab_Personen[#Headers],0),FALSE)</f>
        <v>Bäthe-Koslowski</v>
      </c>
      <c r="Q15" t="str">
        <f>VLOOKUP(Tab_Beiträge[[#This Row],[Gutachter-ID]],Tab_Personen[],MATCH(MID(Tab_Beiträge[[#Headers],[Gutachter-Vorname]],11,7),Tab_Personen[#Headers],0),FALSE)</f>
        <v>Bärbel</v>
      </c>
      <c r="R15" t="str">
        <f>VLOOKUP(Tab_Beiträge[[#This Row],[Gutachter-ID]],Tab_Personen[],MATCH(MID(Tab_Beiträge[[#Headers],[Gutachter-Organisation]],11,12),Tab_Personen[#Headers],0),FALSE)</f>
        <v>Meilenweit daneben Consulting GmbH</v>
      </c>
      <c r="S15" t="str">
        <f>VLOOKUP(Tab_Beiträge[[#This Row],[Gutachter-ID]],Tab_Personen[],MATCH(MID(Tab_Beiträge[[#Headers],[Gutachter-Ort]],11,3),Tab_Personen[#Headers],0),FALSE)</f>
        <v>Weimar</v>
      </c>
    </row>
    <row r="16" spans="1:19" x14ac:dyDescent="0.3">
      <c r="A16">
        <v>2</v>
      </c>
      <c r="B16" t="s">
        <v>117</v>
      </c>
      <c r="C16">
        <v>2</v>
      </c>
      <c r="D16">
        <v>2</v>
      </c>
      <c r="E16" t="str">
        <f>VLOOKUP(Tab_Beiträge[[#This Row],[Sitzung-ID]],Tab_Sitzungen[],MATCH(Tab_Beiträge[[#Headers],[Ort]],Tab_Sitzungen[#Headers],0),FALSE)</f>
        <v>Bühne 1</v>
      </c>
      <c r="F16" t="str">
        <f>VLOOKUP(Tab_Beiträge[[#This Row],[Sitzung-ID]],Tab_Sitzungen[],MATCH(Tab_Beiträge[[#Headers],[Präsentationsform]],Tab_Sitzungen[#Headers],0),FALSE)</f>
        <v>Vortrag</v>
      </c>
      <c r="I16" s="17"/>
      <c r="J16">
        <v>2</v>
      </c>
      <c r="K16" t="str">
        <f>VLOOKUP(Tab_Beiträge[[#This Row],[Einreicher-ID]],Tab_Personen[],MATCH(MID(Tab_Beiträge[[#Headers],[Einreicher-Name]],12,4),Tab_Personen[#Headers],0),FALSE)</f>
        <v>Bäthe-Koslowski</v>
      </c>
      <c r="L16" t="str">
        <f>VLOOKUP(Tab_Beiträge[[#This Row],[Einreicher-ID]],Tab_Personen[],MATCH(MID(Tab_Beiträge[[#Headers],[Einreicher-Vorname]],12,7),Tab_Personen[#Headers],0),FALSE)</f>
        <v>Bärbel</v>
      </c>
      <c r="M16" t="str">
        <f>VLOOKUP(Tab_Beiträge[[#This Row],[Einreicher-ID]],Tab_Personen[],MATCH(MID(Tab_Beiträge[[#Headers],[Einreicher-Organisation]],12,12),Tab_Personen[#Headers],0),FALSE)</f>
        <v>Meilenweit daneben Consulting GmbH</v>
      </c>
      <c r="N16" t="str">
        <f>VLOOKUP(Tab_Beiträge[[#This Row],[Einreicher-ID]],Tab_Personen[],MATCH(MID(Tab_Beiträge[[#Headers],[Einreicher-Ort]],12,3),Tab_Personen[#Headers],0),FALSE)</f>
        <v>Weimar</v>
      </c>
      <c r="O16">
        <v>3</v>
      </c>
      <c r="P16" t="str">
        <f>VLOOKUP(Tab_Beiträge[[#This Row],[Gutachter-ID]],Tab_Personen[],MATCH(MID(Tab_Beiträge[[#Headers],[Gutachter-Name]],11,4),Tab_Personen[#Headers],0),FALSE)</f>
        <v>Warstein</v>
      </c>
      <c r="Q16" t="str">
        <f>VLOOKUP(Tab_Beiträge[[#This Row],[Gutachter-ID]],Tab_Personen[],MATCH(MID(Tab_Beiträge[[#Headers],[Gutachter-Vorname]],11,7),Tab_Personen[#Headers],0),FALSE)</f>
        <v>Malte</v>
      </c>
      <c r="R16" t="str">
        <f>VLOOKUP(Tab_Beiträge[[#This Row],[Gutachter-ID]],Tab_Personen[],MATCH(MID(Tab_Beiträge[[#Headers],[Gutachter-Organisation]],11,12),Tab_Personen[#Headers],0),FALSE)</f>
        <v>Besser schnell wieder vergessen GbR</v>
      </c>
      <c r="S16" t="str">
        <f>VLOOKUP(Tab_Beiträge[[#This Row],[Gutachter-ID]],Tab_Personen[],MATCH(MID(Tab_Beiträge[[#Headers],[Gutachter-Ort]],11,3),Tab_Personen[#Headers],0),FALSE)</f>
        <v>Weimar</v>
      </c>
    </row>
    <row r="17" spans="1:19" x14ac:dyDescent="0.3">
      <c r="A17">
        <v>3</v>
      </c>
      <c r="B17" t="s">
        <v>76</v>
      </c>
      <c r="C17">
        <v>2</v>
      </c>
      <c r="D17">
        <v>2</v>
      </c>
      <c r="E17" t="str">
        <f>VLOOKUP(Tab_Beiträge[[#This Row],[Sitzung-ID]],Tab_Sitzungen[],MATCH(Tab_Beiträge[[#Headers],[Ort]],Tab_Sitzungen[#Headers],0),FALSE)</f>
        <v>Bühne 1</v>
      </c>
      <c r="F17" t="str">
        <f>VLOOKUP(Tab_Beiträge[[#This Row],[Sitzung-ID]],Tab_Sitzungen[],MATCH(Tab_Beiträge[[#Headers],[Präsentationsform]],Tab_Sitzungen[#Headers],0),FALSE)</f>
        <v>Vortrag</v>
      </c>
      <c r="G17" t="s">
        <v>10</v>
      </c>
      <c r="I17" s="17"/>
      <c r="J17">
        <v>3</v>
      </c>
      <c r="K17" t="str">
        <f>VLOOKUP(Tab_Beiträge[[#This Row],[Einreicher-ID]],Tab_Personen[],MATCH(MID(Tab_Beiträge[[#Headers],[Einreicher-Name]],12,4),Tab_Personen[#Headers],0),FALSE)</f>
        <v>Warstein</v>
      </c>
      <c r="L17" t="str">
        <f>VLOOKUP(Tab_Beiträge[[#This Row],[Einreicher-ID]],Tab_Personen[],MATCH(MID(Tab_Beiträge[[#Headers],[Einreicher-Vorname]],12,7),Tab_Personen[#Headers],0),FALSE)</f>
        <v>Malte</v>
      </c>
      <c r="M17" t="str">
        <f>VLOOKUP(Tab_Beiträge[[#This Row],[Einreicher-ID]],Tab_Personen[],MATCH(MID(Tab_Beiträge[[#Headers],[Einreicher-Organisation]],12,12),Tab_Personen[#Headers],0),FALSE)</f>
        <v>Besser schnell wieder vergessen GbR</v>
      </c>
      <c r="N17" t="str">
        <f>VLOOKUP(Tab_Beiträge[[#This Row],[Einreicher-ID]],Tab_Personen[],MATCH(MID(Tab_Beiträge[[#Headers],[Einreicher-Ort]],12,3),Tab_Personen[#Headers],0),FALSE)</f>
        <v>Weimar</v>
      </c>
      <c r="O17">
        <v>1</v>
      </c>
      <c r="P17" t="str">
        <f>VLOOKUP(Tab_Beiträge[[#This Row],[Gutachter-ID]],Tab_Personen[],MATCH(MID(Tab_Beiträge[[#Headers],[Gutachter-Name]],11,4),Tab_Personen[#Headers],0),FALSE)</f>
        <v>Müller</v>
      </c>
      <c r="Q17" t="str">
        <f>VLOOKUP(Tab_Beiträge[[#This Row],[Gutachter-ID]],Tab_Personen[],MATCH(MID(Tab_Beiträge[[#Headers],[Gutachter-Vorname]],11,7),Tab_Personen[#Headers],0),FALSE)</f>
        <v>Max</v>
      </c>
      <c r="R17" t="str">
        <f>VLOOKUP(Tab_Beiträge[[#This Row],[Gutachter-ID]],Tab_Personen[],MATCH(MID(Tab_Beiträge[[#Headers],[Gutachter-Organisation]],11,12),Tab_Personen[#Headers],0),FALSE)</f>
        <v>Haftet-immer UG (haftungsbeschränkt)</v>
      </c>
      <c r="S17" t="str">
        <f>VLOOKUP(Tab_Beiträge[[#This Row],[Gutachter-ID]],Tab_Personen[],MATCH(MID(Tab_Beiträge[[#Headers],[Gutachter-Ort]],11,3),Tab_Personen[#Headers],0),FALSE)</f>
        <v>Weimar</v>
      </c>
    </row>
  </sheetData>
  <mergeCells count="8">
    <mergeCell ref="E8:H8"/>
    <mergeCell ref="A7:H7"/>
    <mergeCell ref="A1:B1"/>
    <mergeCell ref="A3:H3"/>
    <mergeCell ref="A4:H4"/>
    <mergeCell ref="A5:H5"/>
    <mergeCell ref="A6:H6"/>
    <mergeCell ref="A8:D8"/>
  </mergeCells>
  <phoneticPr fontId="5" type="noConversion"/>
  <conditionalFormatting sqref="A15:S17">
    <cfRule type="expression" dxfId="8" priority="4">
      <formula>_xlfn.ISFORMULA(A15)</formula>
    </cfRule>
  </conditionalFormatting>
  <conditionalFormatting sqref="G15:G17">
    <cfRule type="expression" dxfId="7" priority="24">
      <formula>AND(ISBLANK($G15),_xlfn.DAYS($G$11,$G$10) &lt;= $H$12)</formula>
    </cfRule>
    <cfRule type="expression" dxfId="6" priority="25">
      <formula>AND(ISBLANK($G15),_xlfn.DAYS($G$11,$G$10) &lt;= $H$11)</formula>
    </cfRule>
  </conditionalFormatting>
  <conditionalFormatting sqref="H15:H17">
    <cfRule type="expression" dxfId="5" priority="26">
      <formula>AND(ISBLANK($H15),_xlfn.DAYS($G$12,$G$10) &lt;= $H$12)</formula>
    </cfRule>
    <cfRule type="expression" dxfId="4" priority="27">
      <formula>AND(ISBLANK($H15),_xlfn.DAYS($G$12,$G$10) &lt;= $H$11)</formula>
    </cfRule>
  </conditionalFormatting>
  <conditionalFormatting sqref="I15:I17">
    <cfRule type="cellIs" dxfId="3" priority="5" operator="equal">
      <formula>"Akzeptiert"</formula>
    </cfRule>
    <cfRule type="cellIs" dxfId="2" priority="7" operator="equal">
      <formula>"Abgelehnt"</formula>
    </cfRule>
  </conditionalFormatting>
  <dataValidations count="4">
    <dataValidation type="list" allowBlank="1" showInputMessage="1" showErrorMessage="1" errorTitle="Ungültiger Vermerk!" error="&quot;Ja&quot; eintragen oder Zelle leer lassen." promptTitle="&quot;Ja&quot; oder leer" prompt="Abgabe mit &quot;Ja&quot; vermerken." sqref="G15:G17 H17" xr:uid="{ED71B1A5-7B61-4D8D-8554-DCDE95FD72FD}">
      <formula1>"Ja"</formula1>
    </dataValidation>
    <dataValidation type="custom" allowBlank="1" showInputMessage="1" showErrorMessage="1" errorTitle="Diese ID ist vergeben!" error="Ein anderer Eintrag nutzt diese ID. Nächste freie ID wählen!" promptTitle="ID eintragen" prompt="Jede Zahl ist einmal erlaubt." sqref="A15:A17" xr:uid="{55DD8BDA-2612-45FF-AEF2-6EF100A73EAA}">
      <formula1>COUNTIF($A$15:$A$100000,A15)&lt;2</formula1>
    </dataValidation>
    <dataValidation type="list" allowBlank="1" showInputMessage="1" showErrorMessage="1" errorTitle="Ungültiger Vermerk!" error="&quot;Ja&quot; eintragen oder Zelle leer lassen." promptTitle="&quot;Ja&quot; oder leer" prompt="Bewertung mit &quot;Ja&quot; vermerken." sqref="H15:H16" xr:uid="{3CFA3B3C-BDC9-4576-ACF2-994B9E5F8FFD}">
      <formula1>"Ja"</formula1>
    </dataValidation>
    <dataValidation type="list" allowBlank="1" showInputMessage="1" showErrorMessage="1" sqref="I15:I17" xr:uid="{3A3AB5FD-857B-4B4A-B203-87DE48289D01}">
      <formula1>"Akzeptiert, Abgelehnt"</formula1>
    </dataValidation>
  </dataValidations>
  <hyperlinks>
    <hyperlink ref="E8" r:id="rId1" display="Converia testen »" xr:uid="{3EF858D2-D7C9-4EBA-91C9-B040A6D0EA13}"/>
    <hyperlink ref="E8:H8" location="Hilfe!A1" display="Blatt &quot;Hilfe&quot; öffnen" xr:uid="{45A71DD0-0F61-450D-B497-8242D23DA2AF}"/>
  </hyperlinks>
  <pageMargins left="0.7" right="0.7" top="0.78740157499999996" bottom="0.78740157499999996" header="0.3" footer="0.3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Unbekannte Sitzung!" error="Aus bekannten Sitzungen wählen oder neue Sitzung anlegen." promptTitle="ID einer Sitzung wählen" prompt="IDs angelegter Sitzungen sind erlaubt." xr:uid="{757BF1DB-CBBD-4E2B-B9C1-650DDA710287}">
          <x14:formula1>
            <xm:f>Sitzungen!$A$11:$A$10000</xm:f>
          </x14:formula1>
          <xm:sqref>D15:D17</xm:sqref>
        </x14:dataValidation>
        <x14:dataValidation type="list" allowBlank="1" showInputMessage="1" showErrorMessage="1" errorTitle="Unbekanntes Thema!" error="Aus bekannten Themen wählen oder neues Thema anlegen." promptTitle="ID eines Themas wählen" prompt="IDs angelegter Themen sind erlaubt." xr:uid="{BF1CAEB9-5CB1-4E7D-A53D-D0E8426DEAD1}">
          <x14:formula1>
            <xm:f>Themen!$A$11:$A$10000</xm:f>
          </x14:formula1>
          <xm:sqref>C15:C17</xm:sqref>
        </x14:dataValidation>
        <x14:dataValidation type="list" allowBlank="1" showInputMessage="1" showErrorMessage="1" errorTitle="Unbekannte Person!" error="Aus bekannten Personen wählen oder neue Person anlegen." promptTitle="ID einer Person wählen" prompt="IDs angelegter Personen sind erlaubt." xr:uid="{FF5F784F-7002-4C1C-83C5-25695CBB06E3}">
          <x14:formula1>
            <xm:f>'Personen + Check-in'!$A$11:$A$9999</xm:f>
          </x14:formula1>
          <xm:sqref>O15:O17 J15:J17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E31D-0773-4FC8-97E9-AC25EE6BE023}">
  <sheetPr>
    <tabColor rgb="FF0090FF"/>
  </sheetPr>
  <dimension ref="A1:H13"/>
  <sheetViews>
    <sheetView workbookViewId="0">
      <selection activeCell="E8" sqref="E8:H8"/>
    </sheetView>
  </sheetViews>
  <sheetFormatPr baseColWidth="10" defaultRowHeight="14.4" x14ac:dyDescent="0.3"/>
  <cols>
    <col min="1" max="1" width="5" bestFit="1" customWidth="1"/>
    <col min="2" max="2" width="51.21875" customWidth="1"/>
    <col min="3" max="3" width="13.88671875" bestFit="1" customWidth="1"/>
    <col min="4" max="4" width="19.33203125" bestFit="1" customWidth="1"/>
    <col min="5" max="5" width="10.44140625" bestFit="1" customWidth="1"/>
    <col min="6" max="6" width="6" customWidth="1"/>
    <col min="7" max="7" width="20.6640625" bestFit="1" customWidth="1"/>
    <col min="8" max="8" width="14.33203125" customWidth="1"/>
    <col min="9" max="9" width="15.21875" customWidth="1"/>
    <col min="10" max="10" width="14.33203125" bestFit="1" customWidth="1"/>
    <col min="11" max="11" width="17.6640625" bestFit="1" customWidth="1"/>
    <col min="12" max="12" width="20.5546875" bestFit="1" customWidth="1"/>
    <col min="13" max="13" width="23.77734375" bestFit="1" customWidth="1"/>
    <col min="14" max="14" width="15.21875" bestFit="1" customWidth="1"/>
  </cols>
  <sheetData>
    <row r="1" spans="1:8" ht="20.399999999999999" thickBot="1" x14ac:dyDescent="0.45">
      <c r="A1" s="29" t="s">
        <v>77</v>
      </c>
      <c r="B1" s="29"/>
    </row>
    <row r="2" spans="1:8" ht="15" thickTop="1" x14ac:dyDescent="0.3"/>
    <row r="3" spans="1:8" x14ac:dyDescent="0.3">
      <c r="A3" s="25" t="str">
        <f>'Personen + Check-in'!$A$3</f>
        <v>Vorlage im Mai 2024 bereitgestellt von Converia – Konferenz-Management-Software.</v>
      </c>
      <c r="B3" s="25"/>
      <c r="C3" s="25"/>
      <c r="D3" s="25"/>
      <c r="E3" s="25"/>
      <c r="F3" s="25"/>
      <c r="G3" s="25"/>
      <c r="H3" s="25"/>
    </row>
    <row r="4" spans="1:8" x14ac:dyDescent="0.3">
      <c r="A4" s="23" t="str">
        <f>'Personen + Check-in'!$A$4</f>
        <v>Diese Vorlage ist nur ein Beispiel. Holen Sie sich professionellen Rat ein und passen Sie die Vorlage an Ihre Anforderungen an.</v>
      </c>
      <c r="B4" s="23"/>
      <c r="C4" s="23"/>
      <c r="D4" s="23"/>
      <c r="E4" s="23"/>
      <c r="F4" s="23"/>
      <c r="G4" s="23"/>
      <c r="H4" s="23"/>
    </row>
    <row r="5" spans="1:8" x14ac:dyDescent="0.3">
      <c r="A5" s="23" t="str">
        <f>'Personen + Check-in'!$A$5</f>
        <v>Converia übernimmt keine Haftung für Schäden jeglicher Art, die aus der Verwendung oder Nichtverwendung der Vorlage entstehen.</v>
      </c>
      <c r="B5" s="23"/>
      <c r="C5" s="23"/>
      <c r="D5" s="23"/>
      <c r="E5" s="23"/>
      <c r="F5" s="23"/>
      <c r="G5" s="23"/>
      <c r="H5" s="23"/>
    </row>
    <row r="6" spans="1:8" x14ac:dyDescent="0.3">
      <c r="A6" s="23" t="str">
        <f>'Personen + Check-in'!$A$6</f>
        <v>Dies gilt insbesondere für Schäden durch Fehler, Unvollständigkeit oder Unrichtigkeit der Vorlage, enthaltener Daten und Formeln.</v>
      </c>
      <c r="B6" s="23"/>
      <c r="C6" s="23"/>
      <c r="D6" s="23"/>
      <c r="E6" s="23"/>
      <c r="F6" s="23"/>
      <c r="G6" s="23"/>
      <c r="H6" s="23"/>
    </row>
    <row r="7" spans="1:8" x14ac:dyDescent="0.3">
      <c r="A7" s="23" t="str">
        <f>'Personen + Check-in'!$A$7</f>
        <v>Diese Vorlage ist urheberrechtlich geschützt. Converia behält sich das Recht vor, die Vorlage jederzeit zu ändern oder zu entfernen.</v>
      </c>
      <c r="B7" s="23"/>
      <c r="C7" s="23"/>
      <c r="D7" s="23"/>
      <c r="E7" s="23"/>
      <c r="F7" s="23"/>
      <c r="G7" s="23"/>
      <c r="H7" s="23"/>
    </row>
    <row r="8" spans="1:8" ht="18" x14ac:dyDescent="0.35">
      <c r="A8" s="19" t="str">
        <f>Hilfe!$A$6</f>
        <v>Mit Praxistipps sind Sie schneller:</v>
      </c>
      <c r="B8" s="19"/>
      <c r="C8" s="19"/>
      <c r="D8" s="19"/>
      <c r="E8" s="20" t="s">
        <v>125</v>
      </c>
      <c r="F8" s="20"/>
      <c r="G8" s="20"/>
      <c r="H8" s="20"/>
    </row>
    <row r="10" spans="1:8" x14ac:dyDescent="0.3">
      <c r="A10" t="s">
        <v>14</v>
      </c>
      <c r="B10" t="s">
        <v>0</v>
      </c>
      <c r="C10" t="s">
        <v>4</v>
      </c>
      <c r="D10" t="s">
        <v>66</v>
      </c>
      <c r="E10" t="s">
        <v>36</v>
      </c>
    </row>
    <row r="11" spans="1:8" x14ac:dyDescent="0.3">
      <c r="A11">
        <v>1</v>
      </c>
      <c r="B11" t="s">
        <v>118</v>
      </c>
      <c r="C11" t="s">
        <v>82</v>
      </c>
      <c r="D11" t="s">
        <v>83</v>
      </c>
      <c r="E11" t="str">
        <f t="array" ref="E11">_xlfn.TEXTJOIN("; ",TRUE, IF(Tab_Beiträge[Sitzung-ID]=Tab_Sitzungen[[#This Row],[ID]],Tab_Beiträge[ID],""))</f>
        <v>1</v>
      </c>
    </row>
    <row r="12" spans="1:8" x14ac:dyDescent="0.3">
      <c r="A12">
        <v>2</v>
      </c>
      <c r="B12" t="s">
        <v>120</v>
      </c>
      <c r="C12" t="s">
        <v>81</v>
      </c>
      <c r="D12" t="s">
        <v>84</v>
      </c>
      <c r="E12" t="str">
        <f t="array" ref="E12">_xlfn.TEXTJOIN("; ",TRUE, IF(Tab_Beiträge[Sitzung-ID]=Tab_Sitzungen[[#This Row],[ID]],Tab_Beiträge[ID],""))</f>
        <v>2; 3</v>
      </c>
    </row>
    <row r="13" spans="1:8" x14ac:dyDescent="0.3">
      <c r="A13">
        <v>3</v>
      </c>
      <c r="B13" t="s">
        <v>119</v>
      </c>
      <c r="C13" t="s">
        <v>87</v>
      </c>
      <c r="D13" t="s">
        <v>116</v>
      </c>
      <c r="E13" t="str">
        <f t="array" ref="E13">_xlfn.TEXTJOIN("; ",TRUE, IF(Tab_Beiträge[Sitzung-ID]=Tab_Sitzungen[[#This Row],[ID]],Tab_Beiträge[ID],""))</f>
        <v/>
      </c>
    </row>
  </sheetData>
  <mergeCells count="8">
    <mergeCell ref="A7:H7"/>
    <mergeCell ref="A1:B1"/>
    <mergeCell ref="A3:H3"/>
    <mergeCell ref="A4:H4"/>
    <mergeCell ref="A5:H5"/>
    <mergeCell ref="A6:H6"/>
    <mergeCell ref="A8:D8"/>
    <mergeCell ref="E8:H8"/>
  </mergeCells>
  <phoneticPr fontId="5" type="noConversion"/>
  <conditionalFormatting sqref="A11:E13">
    <cfRule type="expression" dxfId="1" priority="2">
      <formula>_xlfn.ISFORMULA(A11)</formula>
    </cfRule>
  </conditionalFormatting>
  <dataValidations count="1">
    <dataValidation type="custom" allowBlank="1" showInputMessage="1" showErrorMessage="1" errorTitle="Diese ID ist vergeben!" error="Ein anderer Eintrag nutzt diese ID. Nächste freie ID wählen!" promptTitle="ID eintragen" prompt="Jede Zahl ist einmal erlaubt." sqref="A11:A13" xr:uid="{5583E6B9-179D-478E-BD52-3CF25C0B5572}">
      <formula1>COUNTIF($A$11:$A$100000,A11)&lt;2</formula1>
    </dataValidation>
  </dataValidations>
  <hyperlinks>
    <hyperlink ref="E8" r:id="rId1" display="Converia testen »" xr:uid="{F6A38DB6-92CA-4EF9-8783-FCB625208768}"/>
    <hyperlink ref="E8:H8" location="Hilfe!A1" display="Blatt &quot;Hilfe&quot; öffnen" xr:uid="{DF139981-AED5-4B58-BF2D-4560BEC666F2}"/>
  </hyperlinks>
  <pageMargins left="0.7" right="0.7" top="0.78740157499999996" bottom="0.78740157499999996" header="0.3" footer="0.3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347B-A4C7-4782-9F3C-D9285ADFDDC7}">
  <sheetPr>
    <tabColor rgb="FFD20D6E"/>
  </sheetPr>
  <dimension ref="A1:H12"/>
  <sheetViews>
    <sheetView workbookViewId="0">
      <selection activeCell="E8" sqref="E8:H8"/>
    </sheetView>
  </sheetViews>
  <sheetFormatPr baseColWidth="10" defaultRowHeight="14.4" x14ac:dyDescent="0.3"/>
  <cols>
    <col min="1" max="1" width="5" bestFit="1" customWidth="1"/>
    <col min="2" max="2" width="27.109375" bestFit="1" customWidth="1"/>
    <col min="3" max="3" width="10.44140625" bestFit="1" customWidth="1"/>
    <col min="4" max="4" width="10.21875" bestFit="1" customWidth="1"/>
    <col min="5" max="5" width="6" bestFit="1" customWidth="1"/>
    <col min="6" max="6" width="19.33203125" bestFit="1" customWidth="1"/>
    <col min="7" max="7" width="17.88671875" bestFit="1" customWidth="1"/>
    <col min="8" max="8" width="20.6640625" bestFit="1" customWidth="1"/>
    <col min="9" max="9" width="35" bestFit="1" customWidth="1"/>
    <col min="10" max="10" width="15.44140625" bestFit="1" customWidth="1"/>
    <col min="11" max="11" width="14.33203125" bestFit="1" customWidth="1"/>
    <col min="12" max="12" width="17.6640625" bestFit="1" customWidth="1"/>
    <col min="13" max="13" width="20.5546875" bestFit="1" customWidth="1"/>
    <col min="14" max="14" width="23.77734375" bestFit="1" customWidth="1"/>
    <col min="15" max="15" width="15.21875" bestFit="1" customWidth="1"/>
  </cols>
  <sheetData>
    <row r="1" spans="1:8" ht="20.399999999999999" thickBot="1" x14ac:dyDescent="0.45">
      <c r="A1" s="24" t="s">
        <v>64</v>
      </c>
      <c r="B1" s="24"/>
    </row>
    <row r="2" spans="1:8" ht="15" thickTop="1" x14ac:dyDescent="0.3"/>
    <row r="3" spans="1:8" x14ac:dyDescent="0.3">
      <c r="A3" s="25" t="str">
        <f>'Personen + Check-in'!$A$3</f>
        <v>Vorlage im Mai 2024 bereitgestellt von Converia – Konferenz-Management-Software.</v>
      </c>
      <c r="B3" s="25"/>
      <c r="C3" s="25"/>
      <c r="D3" s="25"/>
      <c r="E3" s="25"/>
      <c r="F3" s="25"/>
      <c r="G3" s="25"/>
      <c r="H3" s="25"/>
    </row>
    <row r="4" spans="1:8" x14ac:dyDescent="0.3">
      <c r="A4" s="23" t="str">
        <f>'Personen + Check-in'!$A$4</f>
        <v>Diese Vorlage ist nur ein Beispiel. Holen Sie sich professionellen Rat ein und passen Sie die Vorlage an Ihre Anforderungen an.</v>
      </c>
      <c r="B4" s="23"/>
      <c r="C4" s="23"/>
      <c r="D4" s="23"/>
      <c r="E4" s="23"/>
      <c r="F4" s="23"/>
      <c r="G4" s="23"/>
      <c r="H4" s="23"/>
    </row>
    <row r="5" spans="1:8" x14ac:dyDescent="0.3">
      <c r="A5" s="23" t="str">
        <f>'Personen + Check-in'!$A$5</f>
        <v>Converia übernimmt keine Haftung für Schäden jeglicher Art, die aus der Verwendung oder Nichtverwendung der Vorlage entstehen.</v>
      </c>
      <c r="B5" s="23"/>
      <c r="C5" s="23"/>
      <c r="D5" s="23"/>
      <c r="E5" s="23"/>
      <c r="F5" s="23"/>
      <c r="G5" s="23"/>
      <c r="H5" s="23"/>
    </row>
    <row r="6" spans="1:8" x14ac:dyDescent="0.3">
      <c r="A6" s="23" t="str">
        <f>'Personen + Check-in'!$A$6</f>
        <v>Dies gilt insbesondere für Schäden durch Fehler, Unvollständigkeit oder Unrichtigkeit der Vorlage, enthaltener Daten und Formeln.</v>
      </c>
      <c r="B6" s="23"/>
      <c r="C6" s="23"/>
      <c r="D6" s="23"/>
      <c r="E6" s="23"/>
      <c r="F6" s="23"/>
      <c r="G6" s="23"/>
      <c r="H6" s="23"/>
    </row>
    <row r="7" spans="1:8" x14ac:dyDescent="0.3">
      <c r="A7" s="23" t="str">
        <f>'Personen + Check-in'!$A$7</f>
        <v>Diese Vorlage ist urheberrechtlich geschützt. Converia behält sich das Recht vor, die Vorlage jederzeit zu ändern oder zu entfernen.</v>
      </c>
      <c r="B7" s="23"/>
      <c r="C7" s="23"/>
      <c r="D7" s="23"/>
      <c r="E7" s="23"/>
      <c r="F7" s="23"/>
      <c r="G7" s="23"/>
      <c r="H7" s="23"/>
    </row>
    <row r="8" spans="1:8" ht="18" x14ac:dyDescent="0.35">
      <c r="A8" s="19" t="str">
        <f>Hilfe!$A$6</f>
        <v>Mit Praxistipps sind Sie schneller:</v>
      </c>
      <c r="B8" s="19"/>
      <c r="C8" s="19"/>
      <c r="D8" s="19"/>
      <c r="E8" s="20" t="s">
        <v>125</v>
      </c>
      <c r="F8" s="20"/>
      <c r="G8" s="20"/>
      <c r="H8" s="20"/>
    </row>
    <row r="10" spans="1:8" x14ac:dyDescent="0.3">
      <c r="A10" t="s">
        <v>14</v>
      </c>
      <c r="B10" t="s">
        <v>0</v>
      </c>
      <c r="C10" t="s">
        <v>36</v>
      </c>
    </row>
    <row r="11" spans="1:8" x14ac:dyDescent="0.3">
      <c r="A11">
        <v>1</v>
      </c>
      <c r="B11" t="s">
        <v>115</v>
      </c>
      <c r="C11" t="str">
        <f t="array" ref="C11">_xlfn.TEXTJOIN("; ", TRUE, IF(Tab_Beiträge[Thema-ID]=Tab_Themen[[#This Row],[ID]],Tab_Beiträge[ID],""))</f>
        <v>1</v>
      </c>
    </row>
    <row r="12" spans="1:8" x14ac:dyDescent="0.3">
      <c r="A12">
        <v>2</v>
      </c>
      <c r="B12" t="s">
        <v>80</v>
      </c>
      <c r="C12" t="str">
        <f t="array" ref="C12">_xlfn.TEXTJOIN("; ", TRUE, IF(Tab_Beiträge[Thema-ID]=Tab_Themen[[#This Row],[ID]],Tab_Beiträge[ID],""))</f>
        <v>2; 3</v>
      </c>
    </row>
  </sheetData>
  <mergeCells count="8">
    <mergeCell ref="A8:D8"/>
    <mergeCell ref="E8:H8"/>
    <mergeCell ref="A7:H7"/>
    <mergeCell ref="A1:B1"/>
    <mergeCell ref="A3:H3"/>
    <mergeCell ref="A4:H4"/>
    <mergeCell ref="A5:H5"/>
    <mergeCell ref="A6:H6"/>
  </mergeCells>
  <conditionalFormatting sqref="A11:C12">
    <cfRule type="expression" dxfId="0" priority="1">
      <formula>_xlfn.ISFORMULA(A11)</formula>
    </cfRule>
  </conditionalFormatting>
  <dataValidations count="1">
    <dataValidation type="custom" allowBlank="1" showInputMessage="1" showErrorMessage="1" errorTitle="Diese ID ist vergeben!" error="Ein anderer Eintrag nutzt diese ID. Nächste freie ID wählen!" promptTitle="ID eintragen" prompt="Jede Zahl ist einmal erlaubt." sqref="A11:A12" xr:uid="{854FB094-FE9C-4C00-8EB9-609B409F4CAC}">
      <formula1>COUNTIF($A$11:$A$100000,A11)&lt;2</formula1>
    </dataValidation>
  </dataValidations>
  <hyperlinks>
    <hyperlink ref="E8" r:id="rId1" display="Converia testen »" xr:uid="{25666D70-D151-4506-B8E4-E276098A59FE}"/>
    <hyperlink ref="E8:H8" location="Hilfe!A1" display="Blatt &quot;Hilfe&quot; öffnen" xr:uid="{63D4AA67-F1F6-41F2-B94D-FC7645012408}"/>
  </hyperlinks>
  <pageMargins left="0.7" right="0.7" top="0.78740157499999996" bottom="0.78740157499999996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Hilfe</vt:lpstr>
      <vt:lpstr>Personen + Check-in</vt:lpstr>
      <vt:lpstr>Buchungen</vt:lpstr>
      <vt:lpstr>Gutscheine</vt:lpstr>
      <vt:lpstr>Leistungen</vt:lpstr>
      <vt:lpstr>Beiträge</vt:lpstr>
      <vt:lpstr>Sitzungen</vt:lpstr>
      <vt:lpstr>Themen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Krauß</dc:creator>
  <cp:lastModifiedBy>Maximilian Krauß</cp:lastModifiedBy>
  <dcterms:created xsi:type="dcterms:W3CDTF">2023-11-21T15:09:52Z</dcterms:created>
  <dcterms:modified xsi:type="dcterms:W3CDTF">2024-05-16T09:23:34Z</dcterms:modified>
</cp:coreProperties>
</file>